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100" windowWidth="15200" windowHeight="8700"/>
  </bookViews>
  <sheets>
    <sheet name="Diurno" sheetId="1" r:id="rId1"/>
    <sheet name="Nocturno" sheetId="2" r:id="rId2"/>
    <sheet name="Resumen CAS" sheetId="5" r:id="rId3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51" i="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C61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H70"/>
  <c r="C10"/>
  <c r="B11"/>
  <c r="C11"/>
  <c r="F7"/>
  <c r="E14"/>
  <c r="F14"/>
  <c r="H14"/>
  <c r="E15"/>
  <c r="F15"/>
  <c r="H15"/>
  <c r="E16"/>
  <c r="F16"/>
  <c r="H16"/>
  <c r="E17"/>
  <c r="F17"/>
  <c r="H17"/>
  <c r="E18"/>
  <c r="F18"/>
  <c r="H18"/>
  <c r="E21"/>
  <c r="E19"/>
  <c r="F19"/>
  <c r="H19"/>
  <c r="H21"/>
  <c r="H22"/>
  <c r="H23"/>
  <c r="E24"/>
  <c r="H24"/>
  <c r="F4"/>
  <c r="C25"/>
  <c r="E25"/>
  <c r="H25"/>
  <c r="D26"/>
  <c r="E26"/>
  <c r="H26"/>
  <c r="D27"/>
  <c r="C27"/>
  <c r="F27"/>
  <c r="H27"/>
  <c r="E28"/>
  <c r="H28"/>
  <c r="E30"/>
  <c r="E29"/>
  <c r="H29"/>
  <c r="H30"/>
  <c r="H31"/>
  <c r="H32"/>
  <c r="P36"/>
  <c r="E33"/>
  <c r="C33"/>
  <c r="H33"/>
  <c r="P37"/>
  <c r="F8"/>
  <c r="F9"/>
  <c r="E36"/>
  <c r="H36"/>
  <c r="E37"/>
  <c r="D37"/>
  <c r="D35"/>
  <c r="C37"/>
  <c r="H37"/>
  <c r="E38"/>
  <c r="D38"/>
  <c r="C38"/>
  <c r="H38"/>
  <c r="E39"/>
  <c r="H39"/>
  <c r="E40"/>
  <c r="H40"/>
  <c r="H41"/>
  <c r="P38"/>
  <c r="B42"/>
  <c r="F44"/>
  <c r="H44"/>
  <c r="F45"/>
  <c r="H45"/>
  <c r="F46"/>
  <c r="H46"/>
  <c r="F47"/>
  <c r="H47"/>
  <c r="H48"/>
  <c r="P39"/>
  <c r="P41"/>
  <c r="P44"/>
  <c r="M5"/>
  <c r="P5"/>
  <c r="N6"/>
  <c r="P6"/>
  <c r="P7"/>
  <c r="P8"/>
  <c r="N9"/>
  <c r="P9"/>
  <c r="N10"/>
  <c r="P10"/>
  <c r="N11"/>
  <c r="P11"/>
  <c r="P12"/>
  <c r="P13"/>
  <c r="P14"/>
  <c r="O16"/>
  <c r="P16"/>
  <c r="K17"/>
  <c r="O17"/>
  <c r="P17"/>
  <c r="O19"/>
  <c r="P19"/>
  <c r="P21"/>
  <c r="P22"/>
  <c r="P23"/>
  <c r="P25"/>
  <c r="N26"/>
  <c r="P26"/>
  <c r="N27"/>
  <c r="M27"/>
  <c r="P27"/>
  <c r="P33"/>
  <c r="P45"/>
  <c r="P47"/>
  <c r="P49"/>
  <c r="I70"/>
  <c r="N51"/>
  <c r="C26"/>
  <c r="C31"/>
  <c r="N52"/>
  <c r="O52"/>
  <c r="Q36"/>
  <c r="Q37"/>
  <c r="Q38"/>
  <c r="Q39"/>
  <c r="Q44"/>
  <c r="Q45"/>
  <c r="Q49"/>
  <c r="I48"/>
  <c r="I47"/>
  <c r="I46"/>
  <c r="I45"/>
  <c r="I44"/>
  <c r="I41"/>
  <c r="I40"/>
  <c r="D40"/>
  <c r="I39"/>
  <c r="D39"/>
  <c r="I38"/>
  <c r="I37"/>
  <c r="I36"/>
  <c r="D36"/>
  <c r="Q33"/>
  <c r="I33"/>
  <c r="I32"/>
  <c r="B20"/>
  <c r="B31"/>
  <c r="I30"/>
  <c r="I29"/>
  <c r="I28"/>
  <c r="Q27"/>
  <c r="I27"/>
  <c r="Q26"/>
  <c r="I26"/>
  <c r="F26"/>
  <c r="Q25"/>
  <c r="I25"/>
  <c r="I24"/>
  <c r="Q23"/>
  <c r="I23"/>
  <c r="Q22"/>
  <c r="I22"/>
  <c r="Q21"/>
  <c r="I21"/>
  <c r="Q19"/>
  <c r="I19"/>
  <c r="I18"/>
  <c r="Q17"/>
  <c r="I17"/>
  <c r="C17"/>
  <c r="Q16"/>
  <c r="I16"/>
  <c r="I15"/>
  <c r="Q14"/>
  <c r="I14"/>
  <c r="Q13"/>
  <c r="Q12"/>
  <c r="Q11"/>
  <c r="D5"/>
  <c r="D6"/>
  <c r="D7"/>
  <c r="D8"/>
  <c r="D9"/>
  <c r="D10"/>
  <c r="D11"/>
  <c r="Q10"/>
  <c r="F10"/>
  <c r="H10"/>
  <c r="H7"/>
  <c r="I10"/>
  <c r="G10"/>
  <c r="Q9"/>
  <c r="H9"/>
  <c r="I9"/>
  <c r="G9"/>
  <c r="Q8"/>
  <c r="H8"/>
  <c r="I8"/>
  <c r="G8"/>
  <c r="Q7"/>
  <c r="I7"/>
  <c r="G7"/>
  <c r="Q6"/>
  <c r="Q5"/>
  <c r="G53" i="2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C63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H72"/>
  <c r="C10"/>
  <c r="B11"/>
  <c r="C11"/>
  <c r="F7"/>
  <c r="E14"/>
  <c r="F14"/>
  <c r="H14"/>
  <c r="E15"/>
  <c r="F15"/>
  <c r="H15"/>
  <c r="E16"/>
  <c r="F16"/>
  <c r="H16"/>
  <c r="E17"/>
  <c r="D17"/>
  <c r="F17"/>
  <c r="H17"/>
  <c r="E18"/>
  <c r="D18"/>
  <c r="F18"/>
  <c r="H18"/>
  <c r="E19"/>
  <c r="F19"/>
  <c r="H19"/>
  <c r="E22"/>
  <c r="E20"/>
  <c r="F20"/>
  <c r="H20"/>
  <c r="H22"/>
  <c r="H23"/>
  <c r="H24"/>
  <c r="E25"/>
  <c r="H25"/>
  <c r="F4"/>
  <c r="C26"/>
  <c r="E26"/>
  <c r="H26"/>
  <c r="D27"/>
  <c r="E27"/>
  <c r="H27"/>
  <c r="D28"/>
  <c r="C28"/>
  <c r="F28"/>
  <c r="H28"/>
  <c r="E29"/>
  <c r="H29"/>
  <c r="E32"/>
  <c r="E30"/>
  <c r="H30"/>
  <c r="E31"/>
  <c r="H31"/>
  <c r="H32"/>
  <c r="H33"/>
  <c r="H34"/>
  <c r="P36"/>
  <c r="E35"/>
  <c r="C35"/>
  <c r="H35"/>
  <c r="P37"/>
  <c r="C42"/>
  <c r="F8"/>
  <c r="F9"/>
  <c r="E38"/>
  <c r="H38"/>
  <c r="E39"/>
  <c r="D39"/>
  <c r="D37"/>
  <c r="C39"/>
  <c r="H39"/>
  <c r="E40"/>
  <c r="D40"/>
  <c r="C40"/>
  <c r="H40"/>
  <c r="E41"/>
  <c r="C41"/>
  <c r="H41"/>
  <c r="E42"/>
  <c r="H42"/>
  <c r="H43"/>
  <c r="P38"/>
  <c r="B44"/>
  <c r="F46"/>
  <c r="H46"/>
  <c r="F47"/>
  <c r="H47"/>
  <c r="F48"/>
  <c r="H48"/>
  <c r="F49"/>
  <c r="H49"/>
  <c r="H50"/>
  <c r="P39"/>
  <c r="P41"/>
  <c r="P44"/>
  <c r="M5"/>
  <c r="P5"/>
  <c r="N6"/>
  <c r="P6"/>
  <c r="P7"/>
  <c r="P8"/>
  <c r="N9"/>
  <c r="P9"/>
  <c r="N10"/>
  <c r="P10"/>
  <c r="N11"/>
  <c r="P11"/>
  <c r="P12"/>
  <c r="P13"/>
  <c r="P14"/>
  <c r="O16"/>
  <c r="P16"/>
  <c r="K17"/>
  <c r="O17"/>
  <c r="P17"/>
  <c r="O19"/>
  <c r="P19"/>
  <c r="P21"/>
  <c r="P22"/>
  <c r="P23"/>
  <c r="P25"/>
  <c r="N26"/>
  <c r="P26"/>
  <c r="N27"/>
  <c r="M27"/>
  <c r="P27"/>
  <c r="P33"/>
  <c r="P45"/>
  <c r="P47"/>
  <c r="P49"/>
  <c r="I72"/>
  <c r="N51"/>
  <c r="C27"/>
  <c r="C33"/>
  <c r="N52"/>
  <c r="O52"/>
  <c r="I50"/>
  <c r="Q36"/>
  <c r="Q37"/>
  <c r="Q38"/>
  <c r="Q39"/>
  <c r="Q44"/>
  <c r="Q45"/>
  <c r="Q49"/>
  <c r="I49"/>
  <c r="I48"/>
  <c r="I47"/>
  <c r="I46"/>
  <c r="I43"/>
  <c r="I42"/>
  <c r="D42"/>
  <c r="I41"/>
  <c r="D41"/>
  <c r="I40"/>
  <c r="I39"/>
  <c r="I38"/>
  <c r="D38"/>
  <c r="I35"/>
  <c r="I34"/>
  <c r="Q33"/>
  <c r="B21"/>
  <c r="B33"/>
  <c r="I32"/>
  <c r="I31"/>
  <c r="I30"/>
  <c r="I29"/>
  <c r="I28"/>
  <c r="Q27"/>
  <c r="I27"/>
  <c r="F27"/>
  <c r="Q26"/>
  <c r="I26"/>
  <c r="Q25"/>
  <c r="I25"/>
  <c r="I24"/>
  <c r="Q23"/>
  <c r="I23"/>
  <c r="Q22"/>
  <c r="I22"/>
  <c r="Q21"/>
  <c r="I20"/>
  <c r="Q19"/>
  <c r="I19"/>
  <c r="I18"/>
  <c r="C18"/>
  <c r="Q17"/>
  <c r="I17"/>
  <c r="Q16"/>
  <c r="I16"/>
  <c r="I15"/>
  <c r="Q14"/>
  <c r="I14"/>
  <c r="Q13"/>
  <c r="Q12"/>
  <c r="Q11"/>
  <c r="D5"/>
  <c r="D6"/>
  <c r="D7"/>
  <c r="D8"/>
  <c r="D9"/>
  <c r="D10"/>
  <c r="D11"/>
  <c r="Q10"/>
  <c r="F10"/>
  <c r="H10"/>
  <c r="H7"/>
  <c r="I10"/>
  <c r="G10"/>
  <c r="Q9"/>
  <c r="H9"/>
  <c r="I9"/>
  <c r="G9"/>
  <c r="Q8"/>
  <c r="H8"/>
  <c r="I8"/>
  <c r="G8"/>
  <c r="Q7"/>
  <c r="I7"/>
  <c r="G7"/>
  <c r="Q6"/>
  <c r="Q5"/>
  <c r="C4" i="5"/>
  <c r="C5"/>
  <c r="C6"/>
</calcChain>
</file>

<file path=xl/sharedStrings.xml><?xml version="1.0" encoding="utf-8"?>
<sst xmlns="http://schemas.openxmlformats.org/spreadsheetml/2006/main" count="373" uniqueCount="155">
  <si>
    <t>5   S. Mínimos</t>
  </si>
  <si>
    <t>COSTO INDIRECTO</t>
  </si>
  <si>
    <t>Paro Forzoso</t>
  </si>
  <si>
    <t>10  S. Mínimos</t>
  </si>
  <si>
    <t>EPIS</t>
  </si>
  <si>
    <t>Ahorro Habitacional</t>
  </si>
  <si>
    <t>Ince</t>
  </si>
  <si>
    <t>Ingr. Totales</t>
  </si>
  <si>
    <t>Obligaciones Patronales Mes</t>
  </si>
  <si>
    <t>SUBTOTAL 2</t>
  </si>
  <si>
    <t>EPI´s</t>
  </si>
  <si>
    <t>Und.</t>
  </si>
  <si>
    <t>Dotación</t>
  </si>
  <si>
    <t>% Aplica</t>
  </si>
  <si>
    <t>Costos</t>
  </si>
  <si>
    <t>Tpo Uso/Mes</t>
  </si>
  <si>
    <t>Bs</t>
  </si>
  <si>
    <t>COSTO FINAL</t>
  </si>
  <si>
    <t>SUBTOTAL 1 + SUBTOTAL 2</t>
  </si>
  <si>
    <t>Guantes de cuero</t>
  </si>
  <si>
    <t>Botas de Cuero P/A</t>
  </si>
  <si>
    <t>Par</t>
  </si>
  <si>
    <t>SEMANAL</t>
  </si>
  <si>
    <t>Chaleco salvavidas</t>
  </si>
  <si>
    <t>DIARIO</t>
  </si>
  <si>
    <t>Camisa</t>
  </si>
  <si>
    <t>Pantalón</t>
  </si>
  <si>
    <t>Lentes oscuras/claros</t>
  </si>
  <si>
    <t>Casco</t>
  </si>
  <si>
    <t>Impermeable</t>
  </si>
  <si>
    <t>Linea Vida c/Abs.Impacto</t>
  </si>
  <si>
    <t>Arnés Seg.Corporal 3 anillas</t>
  </si>
  <si>
    <t>Mascarilla desec.p/ polvo</t>
  </si>
  <si>
    <t>Mascarilla desec.p/gases</t>
  </si>
  <si>
    <t>Guantes de Soldador</t>
  </si>
  <si>
    <t>Careta p/soldar c/vidrio movil</t>
  </si>
  <si>
    <t>Chaqueta soldador</t>
  </si>
  <si>
    <t>Delantal de cuero</t>
  </si>
  <si>
    <t>Careta p/esmerilar</t>
  </si>
  <si>
    <t>Tapones Auditivos</t>
  </si>
  <si>
    <t>Gafas Oxicorte</t>
  </si>
  <si>
    <t>EPI'S</t>
  </si>
  <si>
    <t>Bs/mes</t>
  </si>
  <si>
    <t>Maestro de Obra de 1ra</t>
  </si>
  <si>
    <t>Cabilleros</t>
  </si>
  <si>
    <t>Horas Ordinarias Nocturnas</t>
  </si>
  <si>
    <t>Bono Nocturno</t>
  </si>
  <si>
    <t>Soldador</t>
  </si>
  <si>
    <t>Guantes de Carnaza Reforzado</t>
  </si>
  <si>
    <t>Descanso Legal</t>
  </si>
  <si>
    <t>Descanso Convencional</t>
  </si>
  <si>
    <t>Obrero de comedor</t>
  </si>
  <si>
    <t>Almacenista</t>
  </si>
  <si>
    <t>Obrero de Comedor</t>
  </si>
  <si>
    <t>Sal. Normal</t>
  </si>
  <si>
    <t>N°</t>
  </si>
  <si>
    <t>Bono de Altura y Galería</t>
  </si>
  <si>
    <t>Horas Extras por Cobro</t>
  </si>
  <si>
    <t>Descanso Adicional</t>
  </si>
  <si>
    <t>Diurno</t>
  </si>
  <si>
    <t>Nocturno</t>
  </si>
  <si>
    <t>TURNO</t>
  </si>
  <si>
    <t>CAS</t>
  </si>
  <si>
    <t>CONSORCIO MEGAVATIO</t>
  </si>
  <si>
    <t>CONSTRUCCION DE FUDNDACIONES PLANTAS TERMOELECTRICAS</t>
  </si>
  <si>
    <t>FACTOR DE COSTOS ASOCIADOS AL SALARIO</t>
  </si>
  <si>
    <t>Cuadrilla Típica</t>
  </si>
  <si>
    <t>Cantidad</t>
  </si>
  <si>
    <t>Salario</t>
  </si>
  <si>
    <t>Total</t>
  </si>
  <si>
    <t>Tiempo del Estudio</t>
  </si>
  <si>
    <t>Sem</t>
  </si>
  <si>
    <t>Feriados en Período</t>
  </si>
  <si>
    <t>Otros Conceptos</t>
  </si>
  <si>
    <t>Bs/Mes</t>
  </si>
  <si>
    <t>Meses</t>
  </si>
  <si>
    <t>Transporte</t>
  </si>
  <si>
    <t>Puesto/día</t>
  </si>
  <si>
    <t>Tipo Salario</t>
  </si>
  <si>
    <t>Bs/día</t>
  </si>
  <si>
    <t>Factor</t>
  </si>
  <si>
    <t>Bs/Hr</t>
  </si>
  <si>
    <t>Utiles escolares</t>
  </si>
  <si>
    <t>Ayudantes</t>
  </si>
  <si>
    <t>Salario Basico</t>
  </si>
  <si>
    <t>Examen Preingreso y Egreso</t>
  </si>
  <si>
    <t>2 Exám.</t>
  </si>
  <si>
    <t>Salario Promedio</t>
  </si>
  <si>
    <t>Examen de Laboratorio</t>
  </si>
  <si>
    <t>SG.</t>
  </si>
  <si>
    <t>Salario Integral</t>
  </si>
  <si>
    <t>Seguro Responsabilidad Patronal</t>
  </si>
  <si>
    <t>Nómina</t>
  </si>
  <si>
    <t>Tarifa</t>
  </si>
  <si>
    <t>Seguro Responsabilidad Empresarial</t>
  </si>
  <si>
    <t>Exceso Gastos Médicos</t>
  </si>
  <si>
    <t>Asignaciones Salariales</t>
  </si>
  <si>
    <t>Hr</t>
  </si>
  <si>
    <t>Día</t>
  </si>
  <si>
    <t>Base Cálculo</t>
  </si>
  <si>
    <t>Valor</t>
  </si>
  <si>
    <t>Bs/Semana</t>
  </si>
  <si>
    <t>Seguro Accidentes Personales</t>
  </si>
  <si>
    <t>Horas Ordinarias Diurnas</t>
  </si>
  <si>
    <t>Seguro Gastos Funerarios</t>
  </si>
  <si>
    <t>Horas Extra Diurnas</t>
  </si>
  <si>
    <t>Seguro de Vida</t>
  </si>
  <si>
    <t>Horas Extras Nocturnas</t>
  </si>
  <si>
    <t>Agua y Hielo</t>
  </si>
  <si>
    <t>P.U</t>
  </si>
  <si>
    <t>Sabados Laborados</t>
  </si>
  <si>
    <t>Termo 40 Lts</t>
  </si>
  <si>
    <t>Paquetes Vasos cónicos</t>
  </si>
  <si>
    <t xml:space="preserve"> /día</t>
  </si>
  <si>
    <t>Descanso Semanal Trabajado</t>
  </si>
  <si>
    <t>Horas Max Trabj. Sem</t>
  </si>
  <si>
    <t>Servicio Agua y Hielo</t>
  </si>
  <si>
    <t>Tiempo de Viaje</t>
  </si>
  <si>
    <t>Otros beneficios Sindicales</t>
  </si>
  <si>
    <t>Bs. Beneficio</t>
  </si>
  <si>
    <t>Subsido de Alimentacion</t>
  </si>
  <si>
    <t>Salarial</t>
  </si>
  <si>
    <t>Matrimonio</t>
  </si>
  <si>
    <t>Nacimiento</t>
  </si>
  <si>
    <t>Refrigerios</t>
  </si>
  <si>
    <t>Fallecimiento (Grupo Familiar)</t>
  </si>
  <si>
    <t>Feriado o Festivo</t>
  </si>
  <si>
    <t xml:space="preserve"> -Hrs de día Feriado o Festivo</t>
  </si>
  <si>
    <t>Fallecimiento Hermano Menor</t>
  </si>
  <si>
    <t xml:space="preserve"> - TV, -Sbs. AL, -B.Alt, -Refrig.</t>
  </si>
  <si>
    <t>Contrib. Año SIND, FED, 1 Mayo</t>
  </si>
  <si>
    <t>Bono de Asistencia</t>
  </si>
  <si>
    <t>Delegados Sindicales</t>
  </si>
  <si>
    <t>Real Trabj. Sem</t>
  </si>
  <si>
    <t>Semana</t>
  </si>
  <si>
    <t>Asignaciones Salariales Mes</t>
  </si>
  <si>
    <t>Cesta Ticket</t>
  </si>
  <si>
    <t/>
  </si>
  <si>
    <t>Indemnizaciones Laborales</t>
  </si>
  <si>
    <t>Mes</t>
  </si>
  <si>
    <t>%</t>
  </si>
  <si>
    <t>Antigüedad  (Art 108)</t>
  </si>
  <si>
    <t xml:space="preserve">COSTO DIRECTO </t>
  </si>
  <si>
    <t>BUT. Art 125 Indemnizacion</t>
  </si>
  <si>
    <t>BUT.  Art 125 Sustituto Preaviso</t>
  </si>
  <si>
    <t>Vacaciones</t>
  </si>
  <si>
    <t>Utilidades</t>
  </si>
  <si>
    <t>Obligaciones Patronales</t>
  </si>
  <si>
    <t>Indemnizaciones Laborales Mes</t>
  </si>
  <si>
    <t>Salario Mínimo Úrbano</t>
  </si>
  <si>
    <t>SUBTOTAL 1</t>
  </si>
  <si>
    <t>Base</t>
  </si>
  <si>
    <t>Tope</t>
  </si>
  <si>
    <t>Seguro Social Obligatorio</t>
  </si>
  <si>
    <t>Ingr. Mes</t>
  </si>
</sst>
</file>

<file path=xl/styles.xml><?xml version="1.0" encoding="utf-8"?>
<styleSheet xmlns="http://schemas.openxmlformats.org/spreadsheetml/2006/main">
  <numFmts count="10">
    <numFmt numFmtId="164" formatCode="_(* #,##0.00_);_(* \(#,##0.00\);_(* &quot;-&quot;??_);_(@_)"/>
    <numFmt numFmtId="165" formatCode="0.00\ &quot;Meses&quot;"/>
    <numFmt numFmtId="166" formatCode="_(* #,##0_);_(* \(#,##0\);_(* &quot;-&quot;??_);_(@_)"/>
    <numFmt numFmtId="167" formatCode="0\ &quot;Meses&quot;"/>
    <numFmt numFmtId="168" formatCode="0.0%"/>
    <numFmt numFmtId="169" formatCode="#,##0.0_);\(#,##0.0\)"/>
    <numFmt numFmtId="170" formatCode="0.00\ &quot;HR&quot;"/>
    <numFmt numFmtId="171" formatCode="0.00\ &quot;días&quot;"/>
    <numFmt numFmtId="172" formatCode="00.00"/>
    <numFmt numFmtId="173" formatCode="0.000%"/>
  </numFmts>
  <fonts count="24">
    <font>
      <sz val="10"/>
      <name val="Arial"/>
    </font>
    <font>
      <sz val="10"/>
      <name val="Arial"/>
    </font>
    <font>
      <b/>
      <sz val="14"/>
      <name val="Arial Black"/>
      <family val="2"/>
    </font>
    <font>
      <sz val="10"/>
      <name val="Tahoma"/>
    </font>
    <font>
      <b/>
      <sz val="10"/>
      <name val="Tahoma"/>
      <family val="2"/>
    </font>
    <font>
      <b/>
      <u/>
      <sz val="10"/>
      <name val="Tahoma"/>
      <family val="2"/>
    </font>
    <font>
      <sz val="10"/>
      <name val="Tahoma"/>
    </font>
    <font>
      <sz val="8"/>
      <name val="Tahoma"/>
      <family val="2"/>
    </font>
    <font>
      <sz val="6"/>
      <name val="Tahoma"/>
      <family val="2"/>
    </font>
    <font>
      <u/>
      <sz val="10"/>
      <name val="Tahoma"/>
      <family val="2"/>
    </font>
    <font>
      <sz val="9"/>
      <name val="Arial"/>
    </font>
    <font>
      <sz val="10"/>
      <color indexed="10"/>
      <name val="Tahoma"/>
      <family val="2"/>
    </font>
    <font>
      <sz val="10"/>
      <color indexed="10"/>
      <name val="Tahoma"/>
      <family val="2"/>
    </font>
    <font>
      <b/>
      <sz val="8"/>
      <color indexed="10"/>
      <name val="Tahoma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Tahoma"/>
      <family val="2"/>
    </font>
    <font>
      <b/>
      <sz val="10"/>
      <name val="Arial Black"/>
      <family val="2"/>
    </font>
    <font>
      <b/>
      <sz val="11"/>
      <name val="Tahoma"/>
      <family val="2"/>
    </font>
    <font>
      <b/>
      <i/>
      <sz val="8"/>
      <name val="Arial"/>
    </font>
    <font>
      <b/>
      <i/>
      <sz val="8"/>
      <name val="Tahoma"/>
      <family val="2"/>
    </font>
    <font>
      <sz val="10"/>
      <name val="Arial"/>
    </font>
    <font>
      <b/>
      <sz val="8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55"/>
      </right>
      <top style="medium">
        <color indexed="64"/>
      </top>
      <bottom style="thick">
        <color indexed="55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4" applyFont="1" applyAlignment="1">
      <alignment horizontal="left"/>
    </xf>
    <xf numFmtId="0" fontId="2" fillId="0" borderId="0" xfId="4" applyFont="1" applyAlignment="1">
      <alignment horizontal="center"/>
    </xf>
    <xf numFmtId="164" fontId="2" fillId="2" borderId="0" xfId="1" applyFont="1" applyFill="1" applyAlignment="1">
      <alignment horizontal="center"/>
    </xf>
    <xf numFmtId="0" fontId="4" fillId="0" borderId="0" xfId="4" applyFont="1" applyAlignment="1">
      <alignment horizontal="left"/>
    </xf>
    <xf numFmtId="0" fontId="4" fillId="0" borderId="0" xfId="4" applyFont="1" applyAlignment="1">
      <alignment horizontal="center"/>
    </xf>
    <xf numFmtId="164" fontId="1" fillId="2" borderId="0" xfId="1" applyFill="1"/>
    <xf numFmtId="0" fontId="4" fillId="0" borderId="1" xfId="4" applyFont="1" applyBorder="1" applyAlignment="1">
      <alignment horizontal="center"/>
    </xf>
    <xf numFmtId="0" fontId="4" fillId="0" borderId="2" xfId="4" applyFont="1" applyBorder="1" applyAlignment="1">
      <alignment horizontal="center"/>
    </xf>
    <xf numFmtId="0" fontId="4" fillId="0" borderId="3" xfId="4" applyFont="1" applyBorder="1" applyAlignment="1">
      <alignment horizontal="center"/>
    </xf>
    <xf numFmtId="4" fontId="4" fillId="3" borderId="4" xfId="4" applyNumberFormat="1" applyFont="1" applyFill="1" applyBorder="1" applyAlignment="1" applyProtection="1">
      <alignment horizontal="center"/>
      <protection locked="0"/>
    </xf>
    <xf numFmtId="0" fontId="3" fillId="0" borderId="5" xfId="4" applyFont="1" applyFill="1" applyBorder="1" applyAlignment="1">
      <alignment horizontal="center"/>
    </xf>
    <xf numFmtId="0" fontId="5" fillId="0" borderId="0" xfId="4" applyFont="1" applyFill="1"/>
    <xf numFmtId="0" fontId="3" fillId="0" borderId="0" xfId="4" applyFont="1" applyFill="1"/>
    <xf numFmtId="4" fontId="5" fillId="0" borderId="0" xfId="4" applyNumberFormat="1" applyFont="1" applyFill="1" applyAlignment="1">
      <alignment horizontal="center"/>
    </xf>
    <xf numFmtId="0" fontId="0" fillId="0" borderId="6" xfId="0" applyBorder="1" applyAlignment="1" applyProtection="1">
      <alignment horizontal="left"/>
      <protection locked="0"/>
    </xf>
    <xf numFmtId="4" fontId="6" fillId="0" borderId="0" xfId="4" applyNumberFormat="1" applyFont="1" applyFill="1" applyBorder="1" applyAlignment="1" applyProtection="1">
      <alignment horizontal="center" vertical="center" wrapText="1"/>
      <protection locked="0"/>
    </xf>
    <xf numFmtId="4" fontId="6" fillId="4" borderId="7" xfId="4" applyNumberFormat="1" applyFont="1" applyFill="1" applyBorder="1" applyAlignment="1">
      <alignment horizontal="right" vertical="center" wrapText="1"/>
    </xf>
    <xf numFmtId="4" fontId="6" fillId="4" borderId="8" xfId="4" applyNumberFormat="1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/>
    </xf>
    <xf numFmtId="0" fontId="3" fillId="0" borderId="0" xfId="4" applyFill="1"/>
    <xf numFmtId="39" fontId="3" fillId="4" borderId="0" xfId="1" applyNumberFormat="1" applyFont="1" applyFill="1" applyAlignment="1">
      <alignment horizontal="center"/>
    </xf>
    <xf numFmtId="4" fontId="6" fillId="3" borderId="10" xfId="4" applyNumberFormat="1" applyFont="1" applyFill="1" applyBorder="1" applyAlignment="1" applyProtection="1">
      <alignment horizontal="center"/>
      <protection locked="0"/>
    </xf>
    <xf numFmtId="4" fontId="3" fillId="0" borderId="0" xfId="4" applyNumberFormat="1" applyFont="1" applyFill="1"/>
    <xf numFmtId="4" fontId="3" fillId="4" borderId="0" xfId="4" applyNumberFormat="1" applyFill="1"/>
    <xf numFmtId="10" fontId="7" fillId="0" borderId="0" xfId="5" applyNumberFormat="1" applyFont="1" applyFill="1" applyBorder="1" applyAlignment="1">
      <alignment horizontal="center" vertical="center"/>
    </xf>
    <xf numFmtId="0" fontId="4" fillId="0" borderId="11" xfId="4" applyFont="1" applyFill="1" applyBorder="1" applyAlignment="1">
      <alignment horizontal="center" vertical="center" wrapText="1"/>
    </xf>
    <xf numFmtId="164" fontId="8" fillId="2" borderId="0" xfId="1" applyFont="1" applyFill="1" applyAlignment="1">
      <alignment horizontal="center" vertical="center" wrapText="1"/>
    </xf>
    <xf numFmtId="0" fontId="3" fillId="0" borderId="0" xfId="4" applyFill="1" applyAlignment="1">
      <alignment horizontal="center"/>
    </xf>
    <xf numFmtId="4" fontId="3" fillId="0" borderId="0" xfId="4" applyNumberFormat="1" applyFill="1"/>
    <xf numFmtId="164" fontId="3" fillId="0" borderId="0" xfId="1" applyFont="1" applyFill="1"/>
    <xf numFmtId="4" fontId="6" fillId="0" borderId="6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2" xfId="4" applyFill="1" applyBorder="1"/>
    <xf numFmtId="4" fontId="6" fillId="4" borderId="13" xfId="4" applyNumberFormat="1" applyFont="1" applyFill="1" applyBorder="1" applyAlignment="1">
      <alignment horizontal="right" vertical="center" wrapText="1"/>
    </xf>
    <xf numFmtId="4" fontId="0" fillId="4" borderId="5" xfId="0" applyNumberFormat="1" applyFill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6" fillId="0" borderId="5" xfId="4" applyNumberFormat="1" applyFont="1" applyFill="1" applyBorder="1" applyAlignment="1">
      <alignment horizontal="center" vertical="center" wrapText="1"/>
    </xf>
    <xf numFmtId="4" fontId="3" fillId="0" borderId="0" xfId="4" applyNumberFormat="1" applyFill="1" applyProtection="1">
      <protection locked="0"/>
    </xf>
    <xf numFmtId="0" fontId="3" fillId="0" borderId="6" xfId="4" applyFill="1" applyBorder="1"/>
    <xf numFmtId="4" fontId="6" fillId="4" borderId="0" xfId="4" applyNumberFormat="1" applyFont="1" applyFill="1" applyBorder="1" applyAlignment="1">
      <alignment horizontal="right" vertical="center" wrapText="1"/>
    </xf>
    <xf numFmtId="4" fontId="0" fillId="4" borderId="7" xfId="0" applyNumberFormat="1" applyFill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6" fillId="0" borderId="7" xfId="4" applyNumberFormat="1" applyFont="1" applyFill="1" applyBorder="1" applyAlignment="1">
      <alignment horizontal="center" vertical="center" wrapText="1"/>
    </xf>
    <xf numFmtId="4" fontId="9" fillId="0" borderId="0" xfId="4" applyNumberFormat="1" applyFont="1" applyFill="1" applyBorder="1" applyAlignment="1" applyProtection="1">
      <alignment horizontal="center" vertical="center" wrapText="1"/>
      <protection locked="0"/>
    </xf>
    <xf numFmtId="4" fontId="9" fillId="4" borderId="7" xfId="4" applyNumberFormat="1" applyFont="1" applyFill="1" applyBorder="1" applyAlignment="1">
      <alignment horizontal="right" vertical="center" wrapText="1"/>
    </xf>
    <xf numFmtId="164" fontId="3" fillId="2" borderId="0" xfId="1" applyFont="1" applyFill="1"/>
    <xf numFmtId="10" fontId="3" fillId="4" borderId="0" xfId="4" applyNumberFormat="1" applyFill="1" applyAlignment="1">
      <alignment horizontal="center"/>
    </xf>
    <xf numFmtId="0" fontId="0" fillId="0" borderId="14" xfId="0" applyBorder="1" applyAlignment="1">
      <alignment horizontal="right"/>
    </xf>
    <xf numFmtId="4" fontId="0" fillId="4" borderId="8" xfId="0" applyNumberFormat="1" applyFill="1" applyBorder="1" applyAlignment="1">
      <alignment horizontal="center"/>
    </xf>
    <xf numFmtId="4" fontId="6" fillId="4" borderId="8" xfId="4" applyNumberFormat="1" applyFont="1" applyFill="1" applyBorder="1" applyAlignment="1">
      <alignment horizontal="right" vertical="center" wrapText="1"/>
    </xf>
    <xf numFmtId="4" fontId="6" fillId="4" borderId="9" xfId="4" applyNumberFormat="1" applyFont="1" applyFill="1" applyBorder="1" applyAlignment="1">
      <alignment horizontal="right" vertical="center" wrapText="1"/>
    </xf>
    <xf numFmtId="0" fontId="3" fillId="0" borderId="14" xfId="4" applyFont="1" applyFill="1" applyBorder="1"/>
    <xf numFmtId="4" fontId="0" fillId="4" borderId="9" xfId="0" applyNumberFormat="1" applyFill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6" fillId="0" borderId="9" xfId="4" applyNumberFormat="1" applyFont="1" applyFill="1" applyBorder="1" applyAlignment="1">
      <alignment horizontal="center" vertical="center" wrapText="1"/>
    </xf>
    <xf numFmtId="0" fontId="3" fillId="0" borderId="0" xfId="4" applyFont="1" applyFill="1" applyBorder="1"/>
    <xf numFmtId="164" fontId="0" fillId="0" borderId="0" xfId="0" applyNumberFormat="1" applyBorder="1"/>
    <xf numFmtId="4" fontId="0" fillId="0" borderId="0" xfId="0" applyNumberFormat="1" applyBorder="1" applyAlignment="1">
      <alignment horizontal="center"/>
    </xf>
    <xf numFmtId="0" fontId="8" fillId="0" borderId="0" xfId="4" applyFont="1" applyFill="1" applyBorder="1" applyAlignment="1">
      <alignment horizontal="center" vertical="center" wrapText="1"/>
    </xf>
    <xf numFmtId="0" fontId="5" fillId="0" borderId="0" xfId="4" applyFont="1" applyFill="1" applyAlignment="1">
      <alignment horizontal="center"/>
    </xf>
    <xf numFmtId="164" fontId="3" fillId="4" borderId="0" xfId="1" applyFont="1" applyFill="1" applyAlignment="1">
      <alignment horizontal="center"/>
    </xf>
    <xf numFmtId="165" fontId="0" fillId="4" borderId="0" xfId="0" applyNumberFormat="1" applyFill="1"/>
    <xf numFmtId="165" fontId="0" fillId="0" borderId="0" xfId="0" applyNumberFormat="1"/>
    <xf numFmtId="2" fontId="3" fillId="4" borderId="0" xfId="4" applyNumberFormat="1" applyFill="1" applyAlignment="1">
      <alignment horizontal="center"/>
    </xf>
    <xf numFmtId="4" fontId="3" fillId="4" borderId="0" xfId="4" applyNumberFormat="1" applyFill="1" applyAlignment="1">
      <alignment horizontal="right"/>
    </xf>
    <xf numFmtId="2" fontId="0" fillId="4" borderId="0" xfId="0" applyNumberFormat="1" applyFill="1" applyAlignment="1">
      <alignment horizontal="center"/>
    </xf>
    <xf numFmtId="4" fontId="0" fillId="4" borderId="0" xfId="0" applyNumberFormat="1" applyFill="1"/>
    <xf numFmtId="2" fontId="0" fillId="0" borderId="0" xfId="0" applyNumberFormat="1" applyAlignment="1">
      <alignment horizontal="center"/>
    </xf>
    <xf numFmtId="166" fontId="3" fillId="4" borderId="0" xfId="1" applyNumberFormat="1" applyFont="1" applyFill="1" applyAlignment="1">
      <alignment horizontal="center"/>
    </xf>
    <xf numFmtId="167" fontId="0" fillId="0" borderId="0" xfId="0" applyNumberFormat="1"/>
    <xf numFmtId="164" fontId="0" fillId="4" borderId="0" xfId="0" applyNumberFormat="1" applyFill="1"/>
    <xf numFmtId="166" fontId="0" fillId="4" borderId="0" xfId="0" applyNumberFormat="1" applyFill="1"/>
    <xf numFmtId="0" fontId="0" fillId="0" borderId="0" xfId="0" applyAlignment="1">
      <alignment horizontal="center"/>
    </xf>
    <xf numFmtId="0" fontId="5" fillId="0" borderId="0" xfId="4" applyFont="1" applyFill="1" applyAlignment="1">
      <alignment horizontal="right"/>
    </xf>
    <xf numFmtId="4" fontId="3" fillId="4" borderId="8" xfId="4" applyNumberFormat="1" applyFill="1" applyBorder="1" applyAlignment="1">
      <alignment horizontal="center"/>
    </xf>
    <xf numFmtId="4" fontId="3" fillId="0" borderId="0" xfId="4" applyNumberFormat="1" applyFill="1" applyAlignment="1">
      <alignment horizontal="right"/>
    </xf>
    <xf numFmtId="4" fontId="4" fillId="3" borderId="10" xfId="4" applyNumberFormat="1" applyFont="1" applyFill="1" applyBorder="1" applyAlignment="1" applyProtection="1">
      <alignment horizontal="center"/>
      <protection locked="0"/>
    </xf>
    <xf numFmtId="4" fontId="4" fillId="3" borderId="10" xfId="4" applyNumberFormat="1" applyFont="1" applyFill="1" applyBorder="1" applyAlignment="1" applyProtection="1">
      <alignment horizontal="center"/>
    </xf>
    <xf numFmtId="164" fontId="3" fillId="0" borderId="0" xfId="1" applyFont="1" applyFill="1" applyAlignment="1">
      <alignment horizontal="center"/>
    </xf>
    <xf numFmtId="4" fontId="3" fillId="4" borderId="0" xfId="4" applyNumberFormat="1" applyFill="1" applyAlignment="1">
      <alignment horizontal="center"/>
    </xf>
    <xf numFmtId="168" fontId="10" fillId="4" borderId="0" xfId="0" applyNumberFormat="1" applyFont="1" applyFill="1" applyAlignment="1">
      <alignment horizontal="center"/>
    </xf>
    <xf numFmtId="168" fontId="10" fillId="0" borderId="0" xfId="0" applyNumberFormat="1" applyFont="1" applyAlignment="1">
      <alignment horizontal="center"/>
    </xf>
    <xf numFmtId="164" fontId="0" fillId="0" borderId="0" xfId="0" applyNumberFormat="1"/>
    <xf numFmtId="0" fontId="11" fillId="0" borderId="0" xfId="4" applyFont="1" applyFill="1" applyAlignment="1">
      <alignment horizontal="right"/>
    </xf>
    <xf numFmtId="4" fontId="12" fillId="4" borderId="0" xfId="4" applyNumberFormat="1" applyFont="1" applyFill="1" applyAlignment="1">
      <alignment horizontal="center"/>
    </xf>
    <xf numFmtId="2" fontId="12" fillId="4" borderId="0" xfId="4" applyNumberFormat="1" applyFont="1" applyFill="1" applyAlignment="1">
      <alignment horizontal="center"/>
    </xf>
    <xf numFmtId="4" fontId="12" fillId="4" borderId="0" xfId="4" applyNumberFormat="1" applyFont="1" applyFill="1" applyAlignment="1">
      <alignment horizontal="right"/>
    </xf>
    <xf numFmtId="0" fontId="12" fillId="0" borderId="0" xfId="4" applyFont="1" applyFill="1" applyAlignment="1">
      <alignment horizontal="right"/>
    </xf>
    <xf numFmtId="169" fontId="10" fillId="4" borderId="0" xfId="1" applyNumberFormat="1" applyFont="1" applyFill="1" applyAlignment="1">
      <alignment horizontal="center"/>
    </xf>
    <xf numFmtId="0" fontId="0" fillId="4" borderId="0" xfId="0" applyFill="1"/>
    <xf numFmtId="166" fontId="3" fillId="0" borderId="0" xfId="1" applyNumberFormat="1" applyFont="1" applyFill="1" applyAlignment="1"/>
    <xf numFmtId="13" fontId="3" fillId="0" borderId="0" xfId="4" applyNumberFormat="1" applyFill="1" applyAlignment="1">
      <alignment horizontal="center"/>
    </xf>
    <xf numFmtId="4" fontId="6" fillId="0" borderId="0" xfId="4" applyNumberFormat="1" applyFont="1" applyFill="1"/>
    <xf numFmtId="4" fontId="3" fillId="4" borderId="0" xfId="4" applyNumberFormat="1" applyFont="1" applyFill="1" applyAlignment="1">
      <alignment horizontal="right"/>
    </xf>
    <xf numFmtId="170" fontId="10" fillId="4" borderId="0" xfId="0" applyNumberFormat="1" applyFont="1" applyFill="1" applyAlignment="1">
      <alignment horizontal="center"/>
    </xf>
    <xf numFmtId="171" fontId="10" fillId="4" borderId="0" xfId="0" applyNumberFormat="1" applyFont="1" applyFill="1" applyAlignment="1">
      <alignment horizontal="center"/>
    </xf>
    <xf numFmtId="4" fontId="4" fillId="4" borderId="15" xfId="4" applyNumberFormat="1" applyFont="1" applyFill="1" applyBorder="1" applyAlignment="1">
      <alignment horizontal="right"/>
    </xf>
    <xf numFmtId="170" fontId="10" fillId="0" borderId="0" xfId="0" applyNumberFormat="1" applyFont="1" applyFill="1" applyAlignment="1">
      <alignment horizontal="center"/>
    </xf>
    <xf numFmtId="171" fontId="10" fillId="0" borderId="0" xfId="0" applyNumberFormat="1" applyFont="1" applyFill="1" applyAlignment="1">
      <alignment horizontal="center"/>
    </xf>
    <xf numFmtId="4" fontId="3" fillId="0" borderId="16" xfId="4" applyNumberFormat="1" applyFill="1" applyBorder="1" applyAlignment="1">
      <alignment horizontal="right"/>
    </xf>
    <xf numFmtId="4" fontId="4" fillId="0" borderId="16" xfId="4" applyNumberFormat="1" applyFont="1" applyFill="1" applyBorder="1" applyAlignment="1">
      <alignment horizontal="center"/>
    </xf>
    <xf numFmtId="4" fontId="4" fillId="4" borderId="16" xfId="4" applyNumberFormat="1" applyFont="1" applyFill="1" applyBorder="1"/>
    <xf numFmtId="10" fontId="13" fillId="0" borderId="0" xfId="5" applyNumberFormat="1" applyFont="1" applyFill="1" applyBorder="1" applyAlignment="1">
      <alignment horizontal="center"/>
    </xf>
    <xf numFmtId="172" fontId="3" fillId="4" borderId="0" xfId="4" applyNumberFormat="1" applyFill="1" applyAlignment="1">
      <alignment horizontal="center"/>
    </xf>
    <xf numFmtId="0" fontId="14" fillId="0" borderId="0" xfId="0" applyFont="1"/>
    <xf numFmtId="0" fontId="3" fillId="0" borderId="0" xfId="4" applyFill="1" applyBorder="1"/>
    <xf numFmtId="0" fontId="3" fillId="0" borderId="16" xfId="4" quotePrefix="1" applyFont="1" applyFill="1" applyBorder="1"/>
    <xf numFmtId="10" fontId="13" fillId="0" borderId="0" xfId="5" applyNumberFormat="1" applyFont="1" applyFill="1" applyBorder="1" applyAlignment="1">
      <alignment horizontal="right"/>
    </xf>
    <xf numFmtId="165" fontId="15" fillId="0" borderId="0" xfId="2" applyNumberFormat="1" applyFont="1" applyFill="1" applyBorder="1" applyAlignment="1">
      <alignment horizontal="center" vertical="center"/>
    </xf>
    <xf numFmtId="9" fontId="0" fillId="4" borderId="0" xfId="0" applyNumberFormat="1" applyFill="1" applyAlignment="1">
      <alignment horizontal="center"/>
    </xf>
    <xf numFmtId="0" fontId="5" fillId="0" borderId="0" xfId="4" applyFont="1"/>
    <xf numFmtId="0" fontId="3" fillId="0" borderId="0" xfId="4"/>
    <xf numFmtId="0" fontId="3" fillId="0" borderId="0" xfId="4" applyAlignment="1">
      <alignment horizontal="center"/>
    </xf>
    <xf numFmtId="0" fontId="1" fillId="0" borderId="0" xfId="0" applyFont="1"/>
    <xf numFmtId="4" fontId="0" fillId="0" borderId="0" xfId="0" applyNumberFormat="1"/>
    <xf numFmtId="4" fontId="3" fillId="0" borderId="0" xfId="4" applyNumberFormat="1" applyFont="1" applyFill="1" applyAlignment="1">
      <alignment horizontal="center"/>
    </xf>
    <xf numFmtId="4" fontId="4" fillId="0" borderId="16" xfId="4" applyNumberFormat="1" applyFont="1" applyFill="1" applyBorder="1"/>
    <xf numFmtId="164" fontId="1" fillId="0" borderId="0" xfId="1"/>
    <xf numFmtId="0" fontId="16" fillId="0" borderId="0" xfId="4" applyFont="1" applyFill="1" applyAlignment="1">
      <alignment horizontal="right"/>
    </xf>
    <xf numFmtId="4" fontId="4" fillId="0" borderId="0" xfId="4" applyNumberFormat="1" applyFont="1" applyFill="1" applyBorder="1"/>
    <xf numFmtId="4" fontId="4" fillId="0" borderId="0" xfId="4" applyNumberFormat="1" applyFont="1" applyFill="1" applyBorder="1" applyAlignment="1">
      <alignment horizontal="center"/>
    </xf>
    <xf numFmtId="4" fontId="4" fillId="4" borderId="0" xfId="4" applyNumberFormat="1" applyFont="1" applyFill="1"/>
    <xf numFmtId="4" fontId="6" fillId="4" borderId="0" xfId="4" applyNumberFormat="1" applyFont="1" applyFill="1"/>
    <xf numFmtId="0" fontId="6" fillId="0" borderId="0" xfId="3" applyFont="1" applyFill="1"/>
    <xf numFmtId="9" fontId="3" fillId="4" borderId="0" xfId="4" applyNumberFormat="1" applyFill="1" applyAlignment="1">
      <alignment horizontal="center"/>
    </xf>
    <xf numFmtId="0" fontId="6" fillId="0" borderId="0" xfId="4" applyFont="1" applyFill="1"/>
    <xf numFmtId="0" fontId="0" fillId="4" borderId="0" xfId="0" applyFill="1" applyAlignment="1">
      <alignment horizontal="center"/>
    </xf>
    <xf numFmtId="164" fontId="3" fillId="2" borderId="0" xfId="1" applyFont="1" applyFill="1" applyAlignment="1">
      <alignment horizontal="center"/>
    </xf>
    <xf numFmtId="9" fontId="3" fillId="0" borderId="0" xfId="4" applyNumberFormat="1" applyFill="1" applyAlignment="1">
      <alignment horizontal="center"/>
    </xf>
    <xf numFmtId="4" fontId="3" fillId="0" borderId="16" xfId="4" applyNumberFormat="1" applyFill="1" applyBorder="1"/>
    <xf numFmtId="0" fontId="17" fillId="0" borderId="0" xfId="4" applyFont="1" applyAlignment="1">
      <alignment horizontal="center"/>
    </xf>
    <xf numFmtId="3" fontId="0" fillId="0" borderId="0" xfId="0" applyNumberFormat="1"/>
    <xf numFmtId="0" fontId="4" fillId="0" borderId="17" xfId="4" applyFont="1" applyFill="1" applyBorder="1" applyAlignment="1">
      <alignment horizontal="center"/>
    </xf>
    <xf numFmtId="165" fontId="14" fillId="0" borderId="17" xfId="2" applyNumberFormat="1" applyFont="1" applyFill="1" applyBorder="1" applyAlignment="1">
      <alignment horizontal="center" vertical="center"/>
    </xf>
    <xf numFmtId="164" fontId="18" fillId="0" borderId="0" xfId="1" applyFont="1" applyAlignment="1">
      <alignment horizontal="center"/>
    </xf>
    <xf numFmtId="0" fontId="18" fillId="0" borderId="0" xfId="4" applyFont="1" applyAlignment="1">
      <alignment horizontal="center"/>
    </xf>
    <xf numFmtId="0" fontId="6" fillId="0" borderId="17" xfId="2" applyFont="1" applyFill="1" applyBorder="1"/>
    <xf numFmtId="4" fontId="6" fillId="0" borderId="17" xfId="2" applyNumberFormat="1" applyFont="1" applyFill="1" applyBorder="1" applyAlignment="1">
      <alignment horizontal="center"/>
    </xf>
    <xf numFmtId="1" fontId="6" fillId="0" borderId="17" xfId="2" applyNumberFormat="1" applyFont="1" applyFill="1" applyBorder="1" applyAlignment="1">
      <alignment horizontal="center"/>
    </xf>
    <xf numFmtId="9" fontId="6" fillId="0" borderId="17" xfId="5" applyFont="1" applyFill="1" applyBorder="1" applyAlignment="1">
      <alignment horizontal="center"/>
    </xf>
    <xf numFmtId="4" fontId="6" fillId="4" borderId="17" xfId="2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4" fillId="0" borderId="0" xfId="4" applyFont="1" applyAlignment="1">
      <alignment horizontal="right"/>
    </xf>
    <xf numFmtId="164" fontId="3" fillId="4" borderId="0" xfId="1" applyFont="1" applyFill="1"/>
    <xf numFmtId="164" fontId="0" fillId="0" borderId="0" xfId="1" applyFont="1"/>
    <xf numFmtId="10" fontId="4" fillId="4" borderId="0" xfId="5" applyNumberFormat="1" applyFont="1" applyFill="1" applyAlignment="1">
      <alignment horizontal="center"/>
    </xf>
    <xf numFmtId="9" fontId="1" fillId="0" borderId="0" xfId="5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4" applyFont="1" applyAlignment="1">
      <alignment horizontal="center" vertical="center"/>
    </xf>
    <xf numFmtId="10" fontId="14" fillId="0" borderId="0" xfId="5" applyNumberFormat="1" applyFont="1" applyAlignment="1">
      <alignment horizontal="center" vertical="center"/>
    </xf>
    <xf numFmtId="0" fontId="21" fillId="0" borderId="0" xfId="0" applyFont="1" applyAlignment="1">
      <alignment horizontal="center"/>
    </xf>
    <xf numFmtId="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9" fontId="0" fillId="0" borderId="0" xfId="0" applyNumberFormat="1" applyAlignment="1">
      <alignment horizontal="left"/>
    </xf>
    <xf numFmtId="9" fontId="0" fillId="0" borderId="0" xfId="0" applyNumberFormat="1" applyAlignment="1">
      <alignment horizontal="center"/>
    </xf>
    <xf numFmtId="164" fontId="1" fillId="0" borderId="0" xfId="1" applyFill="1"/>
    <xf numFmtId="4" fontId="14" fillId="0" borderId="0" xfId="0" applyNumberFormat="1" applyFont="1"/>
    <xf numFmtId="164" fontId="18" fillId="0" borderId="0" xfId="1" applyFont="1" applyFill="1" applyAlignment="1">
      <alignment horizontal="center"/>
    </xf>
    <xf numFmtId="0" fontId="22" fillId="0" borderId="0" xfId="0" applyFont="1" applyFill="1"/>
    <xf numFmtId="172" fontId="3" fillId="0" borderId="0" xfId="3" applyNumberFormat="1" applyFill="1" applyAlignment="1">
      <alignment horizontal="center"/>
    </xf>
    <xf numFmtId="4" fontId="3" fillId="0" borderId="16" xfId="4" applyNumberFormat="1" applyFont="1" applyFill="1" applyBorder="1" applyAlignment="1">
      <alignment horizontal="center"/>
    </xf>
    <xf numFmtId="4" fontId="0" fillId="0" borderId="0" xfId="0" applyNumberFormat="1" applyFill="1"/>
    <xf numFmtId="0" fontId="4" fillId="0" borderId="0" xfId="4" applyFont="1" applyFill="1" applyAlignment="1">
      <alignment horizontal="right"/>
    </xf>
    <xf numFmtId="9" fontId="4" fillId="0" borderId="0" xfId="5" applyNumberFormat="1" applyFont="1" applyFill="1" applyAlignment="1">
      <alignment horizontal="center"/>
    </xf>
    <xf numFmtId="10" fontId="4" fillId="0" borderId="0" xfId="5" applyNumberFormat="1" applyFont="1" applyFill="1" applyAlignment="1">
      <alignment horizontal="center"/>
    </xf>
    <xf numFmtId="173" fontId="13" fillId="0" borderId="0" xfId="5" applyNumberFormat="1" applyFont="1" applyFill="1" applyBorder="1" applyAlignment="1">
      <alignment horizontal="center"/>
    </xf>
    <xf numFmtId="0" fontId="0" fillId="0" borderId="17" xfId="0" applyBorder="1"/>
    <xf numFmtId="10" fontId="0" fillId="0" borderId="17" xfId="0" applyNumberFormat="1" applyBorder="1"/>
    <xf numFmtId="10" fontId="0" fillId="0" borderId="0" xfId="5" applyNumberFormat="1" applyFont="1"/>
    <xf numFmtId="10" fontId="0" fillId="0" borderId="0" xfId="0" applyNumberFormat="1"/>
    <xf numFmtId="0" fontId="4" fillId="0" borderId="18" xfId="4" applyFont="1" applyFill="1" applyBorder="1" applyAlignment="1">
      <alignment horizontal="center" vertical="center" wrapText="1"/>
    </xf>
    <xf numFmtId="0" fontId="4" fillId="0" borderId="19" xfId="4" applyFont="1" applyFill="1" applyBorder="1" applyAlignment="1">
      <alignment horizontal="center" vertical="center" wrapText="1"/>
    </xf>
    <xf numFmtId="4" fontId="4" fillId="3" borderId="18" xfId="4" applyNumberFormat="1" applyFont="1" applyFill="1" applyBorder="1" applyAlignment="1" applyProtection="1">
      <alignment horizontal="center" vertical="center"/>
      <protection locked="0"/>
    </xf>
    <xf numFmtId="4" fontId="4" fillId="3" borderId="19" xfId="4" applyNumberFormat="1" applyFont="1" applyFill="1" applyBorder="1" applyAlignment="1" applyProtection="1">
      <alignment horizontal="center" vertical="center"/>
      <protection locked="0"/>
    </xf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6">
    <cellStyle name="Millares" xfId="1" builtinId="3"/>
    <cellStyle name="Normal" xfId="0" builtinId="0"/>
    <cellStyle name="Normal_CAS CNO TORRES MODELO" xfId="2"/>
    <cellStyle name="Normal_FCSM-TORRE 26 - 1er REclamo" xfId="3"/>
    <cellStyle name="Normal_FCSM-TORRE 26 - DEFINITIVO" xfId="4"/>
    <cellStyle name="Porcentual" xfId="5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W246"/>
  <sheetViews>
    <sheetView tabSelected="1" workbookViewId="0"/>
  </sheetViews>
  <sheetFormatPr baseColWidth="10" defaultRowHeight="12"/>
  <cols>
    <col min="1" max="1" width="28.83203125" customWidth="1"/>
    <col min="2" max="2" width="11.5" bestFit="1" customWidth="1"/>
    <col min="3" max="3" width="10.1640625" bestFit="1" customWidth="1"/>
    <col min="4" max="4" width="12.5" bestFit="1" customWidth="1"/>
    <col min="5" max="5" width="15.6640625" customWidth="1"/>
    <col min="6" max="6" width="13.5" bestFit="1" customWidth="1"/>
    <col min="7" max="7" width="8.5" bestFit="1" customWidth="1"/>
    <col min="8" max="8" width="13.33203125" bestFit="1" customWidth="1"/>
    <col min="9" max="9" width="7.5" style="72" bestFit="1" customWidth="1"/>
    <col min="10" max="10" width="3.5" style="117" customWidth="1"/>
    <col min="11" max="11" width="6.5" customWidth="1"/>
    <col min="12" max="12" width="27.5" customWidth="1"/>
    <col min="13" max="13" width="10.5" bestFit="1" customWidth="1"/>
    <col min="14" max="14" width="13.5" bestFit="1" customWidth="1"/>
    <col min="15" max="15" width="10.5" bestFit="1" customWidth="1"/>
    <col min="16" max="16" width="15" bestFit="1" customWidth="1"/>
    <col min="17" max="17" width="8.33203125" bestFit="1" customWidth="1"/>
    <col min="18" max="18" width="14.6640625" bestFit="1" customWidth="1"/>
  </cols>
  <sheetData>
    <row r="1" spans="1:19" ht="20">
      <c r="A1" s="1" t="s">
        <v>63</v>
      </c>
      <c r="B1" s="2"/>
      <c r="I1" s="2"/>
      <c r="J1" s="3"/>
      <c r="K1" s="2"/>
      <c r="L1" s="2"/>
      <c r="M1" s="2"/>
    </row>
    <row r="2" spans="1:19" ht="13">
      <c r="A2" s="4" t="s">
        <v>65</v>
      </c>
      <c r="B2" s="5"/>
      <c r="C2" s="5"/>
      <c r="D2" s="5"/>
      <c r="E2" s="5"/>
      <c r="F2" s="5"/>
      <c r="G2" s="5"/>
      <c r="H2" s="5"/>
      <c r="I2" s="5"/>
      <c r="J2" s="6"/>
    </row>
    <row r="3" spans="1:19" ht="14" thickBot="1">
      <c r="A3" s="104" t="s">
        <v>64</v>
      </c>
      <c r="G3" s="5"/>
      <c r="H3" s="5"/>
      <c r="I3" s="5"/>
      <c r="J3" s="6"/>
    </row>
    <row r="4" spans="1:19" ht="13.5" customHeight="1" thickBot="1">
      <c r="A4" s="7" t="s">
        <v>66</v>
      </c>
      <c r="B4" s="8" t="s">
        <v>67</v>
      </c>
      <c r="C4" s="8" t="s">
        <v>68</v>
      </c>
      <c r="D4" s="9" t="s">
        <v>69</v>
      </c>
      <c r="E4" s="171" t="s">
        <v>70</v>
      </c>
      <c r="F4" s="10">
        <f>+F5*4.333333</f>
        <v>17.333331999999999</v>
      </c>
      <c r="G4" s="11" t="s">
        <v>71</v>
      </c>
      <c r="H4" s="171" t="s">
        <v>72</v>
      </c>
      <c r="I4" s="173">
        <v>4</v>
      </c>
      <c r="J4" s="6"/>
      <c r="K4" s="12" t="s">
        <v>73</v>
      </c>
      <c r="L4" s="13"/>
      <c r="M4" s="13"/>
      <c r="N4" s="13"/>
      <c r="O4" s="13"/>
      <c r="P4" s="14" t="s">
        <v>74</v>
      </c>
      <c r="Q4" s="13"/>
    </row>
    <row r="5" spans="1:19" ht="14" thickBot="1">
      <c r="A5" s="15" t="s">
        <v>43</v>
      </c>
      <c r="B5" s="16">
        <v>4</v>
      </c>
      <c r="C5" s="17">
        <v>85.02</v>
      </c>
      <c r="D5" s="17">
        <f t="shared" ref="D5:D10" si="0">C5*B5</f>
        <v>340.08</v>
      </c>
      <c r="E5" s="172"/>
      <c r="F5" s="18">
        <v>4</v>
      </c>
      <c r="G5" s="19" t="s">
        <v>75</v>
      </c>
      <c r="H5" s="172"/>
      <c r="I5" s="174"/>
      <c r="J5" s="6"/>
      <c r="K5" s="20" t="s">
        <v>76</v>
      </c>
      <c r="L5" s="20"/>
      <c r="M5" s="21">
        <f>+C33</f>
        <v>26.071428571428573</v>
      </c>
      <c r="N5" s="21">
        <v>30</v>
      </c>
      <c r="O5" s="23" t="s">
        <v>77</v>
      </c>
      <c r="P5" s="24">
        <f>+N5*M5</f>
        <v>782.14285714285722</v>
      </c>
      <c r="Q5" s="25">
        <f t="shared" ref="Q5:Q14" si="1">P5/$P$49</f>
        <v>5.4493044524407105E-2</v>
      </c>
    </row>
    <row r="6" spans="1:19" ht="14" thickBot="1">
      <c r="A6" s="15" t="s">
        <v>53</v>
      </c>
      <c r="B6" s="16">
        <v>1</v>
      </c>
      <c r="C6" s="17">
        <v>53.15</v>
      </c>
      <c r="D6" s="17">
        <f t="shared" si="0"/>
        <v>53.15</v>
      </c>
      <c r="E6" s="7" t="s">
        <v>78</v>
      </c>
      <c r="F6" s="8" t="s">
        <v>79</v>
      </c>
      <c r="G6" s="9" t="s">
        <v>80</v>
      </c>
      <c r="H6" s="26" t="s">
        <v>81</v>
      </c>
      <c r="I6" s="26" t="s">
        <v>80</v>
      </c>
      <c r="J6" s="27"/>
      <c r="K6" s="20" t="s">
        <v>82</v>
      </c>
      <c r="L6" s="20"/>
      <c r="M6" s="21">
        <v>0</v>
      </c>
      <c r="N6" s="21">
        <f>F7+E22+E21*2</f>
        <v>85.867048122946017</v>
      </c>
      <c r="O6" s="23" t="s">
        <v>54</v>
      </c>
      <c r="P6" s="24">
        <f>+N6*M6/D35</f>
        <v>0</v>
      </c>
      <c r="Q6" s="25">
        <f t="shared" si="1"/>
        <v>0</v>
      </c>
      <c r="R6" s="30"/>
      <c r="S6" s="30"/>
    </row>
    <row r="7" spans="1:19" ht="13">
      <c r="A7" s="15" t="s">
        <v>52</v>
      </c>
      <c r="B7" s="16">
        <v>1</v>
      </c>
      <c r="C7" s="17">
        <v>53.15</v>
      </c>
      <c r="D7" s="17">
        <f t="shared" si="0"/>
        <v>53.15</v>
      </c>
      <c r="E7" s="32" t="s">
        <v>84</v>
      </c>
      <c r="F7" s="33">
        <f>C11</f>
        <v>63.263333333333335</v>
      </c>
      <c r="G7" s="34">
        <f>F7/$F$7</f>
        <v>1</v>
      </c>
      <c r="H7" s="35">
        <f>+F7/7.33</f>
        <v>8.6307412460209196</v>
      </c>
      <c r="I7" s="36">
        <f>+H7/$H$7</f>
        <v>1</v>
      </c>
      <c r="J7" s="27"/>
      <c r="K7" s="13" t="s">
        <v>85</v>
      </c>
      <c r="L7" s="20"/>
      <c r="M7" s="21"/>
      <c r="N7" s="21">
        <v>260</v>
      </c>
      <c r="O7" s="23" t="s">
        <v>86</v>
      </c>
      <c r="P7" s="24">
        <f>+N7*2/F5</f>
        <v>130</v>
      </c>
      <c r="Q7" s="25">
        <f t="shared" si="1"/>
        <v>9.0572914186685775E-3</v>
      </c>
    </row>
    <row r="8" spans="1:19" ht="13">
      <c r="A8" s="31" t="s">
        <v>83</v>
      </c>
      <c r="B8" s="16">
        <v>20</v>
      </c>
      <c r="C8" s="17">
        <v>53.15</v>
      </c>
      <c r="D8" s="17">
        <f t="shared" si="0"/>
        <v>1063</v>
      </c>
      <c r="E8" s="38" t="s">
        <v>87</v>
      </c>
      <c r="F8" s="39">
        <f>(H31)/7</f>
        <v>182.35965842887225</v>
      </c>
      <c r="G8" s="40">
        <f>F8/$F$7</f>
        <v>2.8825490030381831</v>
      </c>
      <c r="H8" s="41">
        <f>+F8/(B31/C31)</f>
        <v>15.940529533895592</v>
      </c>
      <c r="I8" s="42">
        <f>+H8/$H$7</f>
        <v>1.8469479132217927</v>
      </c>
      <c r="J8" s="27"/>
      <c r="K8" s="13" t="s">
        <v>88</v>
      </c>
      <c r="L8" s="20"/>
      <c r="M8" s="21"/>
      <c r="N8" s="21">
        <v>35</v>
      </c>
      <c r="O8" s="23" t="s">
        <v>89</v>
      </c>
      <c r="P8" s="24">
        <f>N8/F5</f>
        <v>8.75</v>
      </c>
      <c r="Q8" s="25">
        <f t="shared" si="1"/>
        <v>6.0962538394884649E-4</v>
      </c>
    </row>
    <row r="9" spans="1:19" ht="13">
      <c r="A9" s="31" t="s">
        <v>44</v>
      </c>
      <c r="B9" s="16">
        <v>36</v>
      </c>
      <c r="C9" s="17">
        <v>66.650000000000006</v>
      </c>
      <c r="D9" s="17">
        <f t="shared" si="0"/>
        <v>2399.4</v>
      </c>
      <c r="E9" s="38" t="s">
        <v>90</v>
      </c>
      <c r="F9" s="39">
        <f>(H31)/7+C40*F8/30</f>
        <v>227.94957303609033</v>
      </c>
      <c r="G9" s="40">
        <f>F9/$F$7</f>
        <v>3.6031862537977291</v>
      </c>
      <c r="H9" s="41">
        <f>+F9/(B31/C31)</f>
        <v>19.925661917369492</v>
      </c>
      <c r="I9" s="42">
        <f>+H9/$H$7</f>
        <v>2.3086848915272409</v>
      </c>
      <c r="J9" s="45"/>
      <c r="K9" s="20" t="s">
        <v>91</v>
      </c>
      <c r="L9" s="20"/>
      <c r="M9" s="46">
        <v>3.2500000000000001E-2</v>
      </c>
      <c r="N9" s="24">
        <f>+$H$31*365/(7*12)</f>
        <v>5546.7729438781971</v>
      </c>
      <c r="O9" s="23" t="s">
        <v>92</v>
      </c>
      <c r="P9" s="24">
        <f>N9*M9</f>
        <v>180.27012067604142</v>
      </c>
      <c r="Q9" s="25">
        <f t="shared" si="1"/>
        <v>1.2559684746472758E-2</v>
      </c>
    </row>
    <row r="10" spans="1:19" ht="14" thickBot="1">
      <c r="A10" s="15" t="s">
        <v>47</v>
      </c>
      <c r="B10" s="43">
        <v>4</v>
      </c>
      <c r="C10" s="17">
        <f>+C9</f>
        <v>66.650000000000006</v>
      </c>
      <c r="D10" s="44">
        <f t="shared" si="0"/>
        <v>266.60000000000002</v>
      </c>
      <c r="E10" s="51" t="s">
        <v>93</v>
      </c>
      <c r="F10" s="49">
        <f>N52</f>
        <v>574.12307671606322</v>
      </c>
      <c r="G10" s="52">
        <f>F10/F7</f>
        <v>9.0751316199388246</v>
      </c>
      <c r="H10" s="53">
        <f>+F10/(B31/C31)</f>
        <v>50.185583474609317</v>
      </c>
      <c r="I10" s="54">
        <f>+H10/$H$7</f>
        <v>5.814747777051787</v>
      </c>
      <c r="J10" s="45"/>
      <c r="K10" s="20" t="s">
        <v>94</v>
      </c>
      <c r="M10" s="46">
        <v>1.2500000000000001E-2</v>
      </c>
      <c r="N10" s="24">
        <f>+$H$31*365/(7*12)</f>
        <v>5546.7729438781971</v>
      </c>
      <c r="O10" s="23" t="s">
        <v>92</v>
      </c>
      <c r="P10" s="24">
        <f>N10*M10</f>
        <v>69.33466179847747</v>
      </c>
      <c r="Q10" s="25">
        <f t="shared" si="1"/>
        <v>4.8306479794126E-3</v>
      </c>
    </row>
    <row r="11" spans="1:19" ht="14" thickBot="1">
      <c r="A11" s="47"/>
      <c r="B11" s="48">
        <f>SUM(B5:B10)</f>
        <v>66</v>
      </c>
      <c r="C11" s="49">
        <f>+SUMPRODUCT(B5:B10,C5:C10)/B11</f>
        <v>63.263333333333335</v>
      </c>
      <c r="D11" s="50">
        <f>SUM(D5:D10)</f>
        <v>4175.38</v>
      </c>
      <c r="F11" s="58"/>
      <c r="G11" s="58"/>
      <c r="H11" s="58"/>
      <c r="I11" s="58"/>
      <c r="J11" s="45"/>
      <c r="K11" s="20" t="s">
        <v>95</v>
      </c>
      <c r="M11" s="46">
        <v>1.2500000000000001E-2</v>
      </c>
      <c r="N11" s="24">
        <f>+$H$31*365/(7*12)</f>
        <v>5546.7729438781971</v>
      </c>
      <c r="O11" s="23" t="s">
        <v>92</v>
      </c>
      <c r="P11" s="24">
        <f>N11*M11</f>
        <v>69.33466179847747</v>
      </c>
      <c r="Q11" s="25">
        <f t="shared" si="1"/>
        <v>4.8306479794126E-3</v>
      </c>
    </row>
    <row r="12" spans="1:19" ht="13">
      <c r="A12" s="55"/>
      <c r="B12" s="56"/>
      <c r="C12" s="57"/>
      <c r="J12" s="45"/>
      <c r="K12" s="20" t="s">
        <v>102</v>
      </c>
      <c r="M12" s="60">
        <v>25</v>
      </c>
      <c r="N12" s="61">
        <v>3</v>
      </c>
      <c r="O12" s="62"/>
      <c r="P12" s="24">
        <f>ROUNDUP(F5/N12,0)*M12/$F$5</f>
        <v>12.5</v>
      </c>
      <c r="Q12" s="25">
        <f t="shared" si="1"/>
        <v>8.7089340564120929E-4</v>
      </c>
    </row>
    <row r="13" spans="1:19" ht="13">
      <c r="A13" s="12" t="s">
        <v>96</v>
      </c>
      <c r="B13" s="59" t="s">
        <v>97</v>
      </c>
      <c r="C13" s="59" t="s">
        <v>98</v>
      </c>
      <c r="D13" s="59" t="s">
        <v>80</v>
      </c>
      <c r="E13" s="14" t="s">
        <v>99</v>
      </c>
      <c r="F13" s="59" t="s">
        <v>100</v>
      </c>
      <c r="H13" s="59" t="s">
        <v>101</v>
      </c>
      <c r="I13"/>
      <c r="J13" s="45"/>
      <c r="K13" s="13" t="s">
        <v>104</v>
      </c>
      <c r="M13" s="60">
        <v>5</v>
      </c>
      <c r="N13" s="61">
        <v>1</v>
      </c>
      <c r="O13" s="62"/>
      <c r="P13" s="24">
        <f>ROUNDUP(F5/N13,0)*M13/$F$5</f>
        <v>5</v>
      </c>
      <c r="Q13" s="25">
        <f t="shared" si="1"/>
        <v>3.4835736225648375E-4</v>
      </c>
    </row>
    <row r="14" spans="1:19" ht="14" thickBot="1">
      <c r="A14" s="13" t="s">
        <v>103</v>
      </c>
      <c r="B14" s="22">
        <v>44</v>
      </c>
      <c r="D14" s="63">
        <v>1</v>
      </c>
      <c r="E14" s="64">
        <f>+F7/7.3333</f>
        <v>8.6268573948063398</v>
      </c>
      <c r="F14" s="64">
        <f t="shared" ref="F14:F19" si="2">E14*D14</f>
        <v>8.6268573948063398</v>
      </c>
      <c r="H14" s="64">
        <f t="shared" ref="H14:H17" si="3">F14*B14</f>
        <v>379.58172537147897</v>
      </c>
      <c r="I14" s="25">
        <f t="shared" ref="I14:I19" si="4">H14*52/12/$P$49</f>
        <v>0.11459941012968362</v>
      </c>
      <c r="J14" s="45"/>
      <c r="K14" s="20" t="s">
        <v>106</v>
      </c>
      <c r="M14" s="60">
        <v>25</v>
      </c>
      <c r="N14" s="61">
        <v>3</v>
      </c>
      <c r="O14" s="62"/>
      <c r="P14" s="24">
        <f>ROUNDUP(F5/N14,0)*M14/$F$5</f>
        <v>12.5</v>
      </c>
      <c r="Q14" s="25">
        <f t="shared" si="1"/>
        <v>8.7089340564120929E-4</v>
      </c>
    </row>
    <row r="15" spans="1:19" ht="15" thickTop="1" thickBot="1">
      <c r="A15" s="13" t="s">
        <v>105</v>
      </c>
      <c r="B15" s="22">
        <v>11</v>
      </c>
      <c r="D15" s="63">
        <v>1.75</v>
      </c>
      <c r="E15" s="64">
        <f>E14</f>
        <v>8.6268573948063398</v>
      </c>
      <c r="F15" s="64">
        <f t="shared" si="2"/>
        <v>15.097000440911096</v>
      </c>
      <c r="H15" s="64">
        <f t="shared" si="3"/>
        <v>166.06700485002204</v>
      </c>
      <c r="I15" s="25">
        <f t="shared" si="4"/>
        <v>5.0137241931736583E-2</v>
      </c>
      <c r="J15" s="45"/>
      <c r="K15" s="12" t="s">
        <v>108</v>
      </c>
      <c r="L15" s="20"/>
      <c r="M15" s="28"/>
      <c r="N15" s="14" t="s">
        <v>109</v>
      </c>
      <c r="O15" s="14" t="s">
        <v>79</v>
      </c>
      <c r="P15" s="14" t="s">
        <v>74</v>
      </c>
      <c r="Q15" s="25"/>
    </row>
    <row r="16" spans="1:19" ht="15" thickTop="1" thickBot="1">
      <c r="A16" s="55" t="s">
        <v>107</v>
      </c>
      <c r="B16" s="22"/>
      <c r="D16" s="65">
        <v>2.1</v>
      </c>
      <c r="E16" s="66">
        <f>E14</f>
        <v>8.6268573948063398</v>
      </c>
      <c r="F16" s="64">
        <f t="shared" si="2"/>
        <v>18.116400529093315</v>
      </c>
      <c r="H16" s="64">
        <f t="shared" si="3"/>
        <v>0</v>
      </c>
      <c r="I16" s="25">
        <f t="shared" si="4"/>
        <v>0</v>
      </c>
      <c r="J16" s="45"/>
      <c r="K16" s="68">
        <v>10</v>
      </c>
      <c r="L16" t="s">
        <v>111</v>
      </c>
      <c r="M16" s="69">
        <v>3</v>
      </c>
      <c r="N16" s="37">
        <v>280</v>
      </c>
      <c r="O16" s="70">
        <f>N16*K16/M16/B11/M5</f>
        <v>0.54241040542410401</v>
      </c>
      <c r="P16" s="70">
        <f>O16*$M$5</f>
        <v>14.141414141414142</v>
      </c>
      <c r="Q16" s="25">
        <f>O16/$P$49</f>
        <v>3.7790531618802164E-5</v>
      </c>
    </row>
    <row r="17" spans="1:17" ht="15" thickTop="1" thickBot="1">
      <c r="A17" s="20" t="s">
        <v>110</v>
      </c>
      <c r="B17" s="22">
        <v>11</v>
      </c>
      <c r="C17" s="67">
        <f>+IF(B17&gt;0,1,0)</f>
        <v>1</v>
      </c>
      <c r="D17" s="63">
        <v>2</v>
      </c>
      <c r="E17" s="64">
        <f>(E14)</f>
        <v>8.6268573948063398</v>
      </c>
      <c r="F17" s="64">
        <f t="shared" si="2"/>
        <v>17.25371478961268</v>
      </c>
      <c r="H17" s="64">
        <f t="shared" si="3"/>
        <v>189.79086268573948</v>
      </c>
      <c r="I17" s="25">
        <f t="shared" si="4"/>
        <v>5.7299705064841812E-2</v>
      </c>
      <c r="J17" s="45"/>
      <c r="K17" s="71">
        <f>2*K16</f>
        <v>20</v>
      </c>
      <c r="L17" t="s">
        <v>112</v>
      </c>
      <c r="M17" s="72" t="s">
        <v>113</v>
      </c>
      <c r="N17" s="37">
        <v>4</v>
      </c>
      <c r="O17" s="70">
        <f>N17*K17/$B$11</f>
        <v>1.2121212121212122</v>
      </c>
      <c r="P17" s="70">
        <f>O17*C33</f>
        <v>31.601731601731604</v>
      </c>
      <c r="Q17" s="25">
        <f>O17/$P$49</f>
        <v>8.4450269637935453E-5</v>
      </c>
    </row>
    <row r="18" spans="1:17" ht="15" thickTop="1" thickBot="1">
      <c r="A18" s="13" t="s">
        <v>57</v>
      </c>
      <c r="B18" s="22">
        <v>0</v>
      </c>
      <c r="C18" s="67">
        <v>1</v>
      </c>
      <c r="D18" s="63">
        <v>1</v>
      </c>
      <c r="E18" s="64">
        <f>E14</f>
        <v>8.6268573948063398</v>
      </c>
      <c r="F18" s="64">
        <f t="shared" si="2"/>
        <v>8.6268573948063398</v>
      </c>
      <c r="H18" s="64">
        <f>F18*B18*C18</f>
        <v>0</v>
      </c>
      <c r="I18" s="25">
        <f t="shared" si="4"/>
        <v>0</v>
      </c>
      <c r="J18" s="45"/>
      <c r="K18" s="71"/>
      <c r="M18" s="72"/>
      <c r="N18" s="37"/>
      <c r="O18" s="70"/>
      <c r="P18" s="70"/>
      <c r="Q18" s="25"/>
    </row>
    <row r="19" spans="1:17" ht="15" thickTop="1" thickBot="1">
      <c r="A19" s="20" t="s">
        <v>114</v>
      </c>
      <c r="B19" s="22">
        <v>0</v>
      </c>
      <c r="C19" s="67">
        <v>1</v>
      </c>
      <c r="D19" s="63">
        <v>3</v>
      </c>
      <c r="E19" s="64">
        <f>(C11+E22+E21*2)/5.83</f>
        <v>14.728481667743742</v>
      </c>
      <c r="F19" s="64">
        <f t="shared" si="2"/>
        <v>44.185445003231223</v>
      </c>
      <c r="H19" s="64">
        <f>F19*B19*C19</f>
        <v>0</v>
      </c>
      <c r="I19" s="25">
        <f t="shared" si="4"/>
        <v>0</v>
      </c>
      <c r="J19" s="45"/>
      <c r="K19" s="71">
        <v>0</v>
      </c>
      <c r="L19" t="s">
        <v>116</v>
      </c>
      <c r="M19" s="72" t="s">
        <v>113</v>
      </c>
      <c r="N19" s="37">
        <v>6</v>
      </c>
      <c r="O19" s="70">
        <f>N19*K19/$B$11</f>
        <v>0</v>
      </c>
      <c r="P19" s="70">
        <f>O19*$M$5</f>
        <v>0</v>
      </c>
      <c r="Q19" s="25">
        <f>O19/$P$49</f>
        <v>0</v>
      </c>
    </row>
    <row r="20" spans="1:17" ht="15" thickTop="1" thickBot="1">
      <c r="A20" s="73" t="s">
        <v>115</v>
      </c>
      <c r="B20" s="74">
        <f>SUM(B14:B19)</f>
        <v>66</v>
      </c>
      <c r="D20" s="28"/>
      <c r="E20" s="75"/>
      <c r="H20" s="75"/>
      <c r="I20" s="25"/>
      <c r="J20" s="45"/>
      <c r="K20" s="12" t="s">
        <v>118</v>
      </c>
      <c r="L20" s="20"/>
      <c r="M20" s="78"/>
      <c r="N20" s="14" t="s">
        <v>119</v>
      </c>
      <c r="O20" s="20"/>
      <c r="P20" s="29"/>
      <c r="Q20" s="25"/>
    </row>
    <row r="21" spans="1:17" ht="14" thickBot="1">
      <c r="A21" s="20" t="s">
        <v>117</v>
      </c>
      <c r="B21" s="76">
        <v>2</v>
      </c>
      <c r="C21" s="77">
        <v>6</v>
      </c>
      <c r="D21" s="63">
        <v>1</v>
      </c>
      <c r="E21" s="64">
        <f>+E14</f>
        <v>8.6268573948063398</v>
      </c>
      <c r="F21" s="75"/>
      <c r="H21" s="64">
        <f>D21*B21*C21*E21</f>
        <v>103.52228873767608</v>
      </c>
      <c r="I21" s="25">
        <f t="shared" ref="I21:I30" si="5">H21*52/12/$P$49</f>
        <v>3.1254384580822803E-2</v>
      </c>
      <c r="J21" s="45"/>
      <c r="K21" s="80">
        <v>0.02</v>
      </c>
      <c r="L21" t="s">
        <v>122</v>
      </c>
      <c r="M21" s="60">
        <v>1</v>
      </c>
      <c r="N21" s="24">
        <v>260</v>
      </c>
      <c r="O21" s="29"/>
      <c r="P21" s="70">
        <f>N21*M21*K21/$F$5</f>
        <v>1.3</v>
      </c>
      <c r="Q21" s="25">
        <f>P21/$P$49</f>
        <v>9.057291418668577E-5</v>
      </c>
    </row>
    <row r="22" spans="1:17" ht="14" thickTop="1">
      <c r="A22" s="20" t="s">
        <v>120</v>
      </c>
      <c r="C22" s="79">
        <v>0</v>
      </c>
      <c r="D22" s="63">
        <v>1</v>
      </c>
      <c r="E22" s="64">
        <v>5.35</v>
      </c>
      <c r="F22" t="s">
        <v>121</v>
      </c>
      <c r="H22" s="64">
        <f>D22*C22*E22</f>
        <v>0</v>
      </c>
      <c r="I22" s="25">
        <f t="shared" si="5"/>
        <v>0</v>
      </c>
      <c r="J22" s="45"/>
      <c r="K22" s="80">
        <v>0.03</v>
      </c>
      <c r="L22" t="s">
        <v>123</v>
      </c>
      <c r="M22" s="60">
        <v>1</v>
      </c>
      <c r="N22" s="24">
        <v>220</v>
      </c>
      <c r="O22" s="29"/>
      <c r="P22" s="70">
        <f>N22*M22*K22/$F$5</f>
        <v>1.65</v>
      </c>
      <c r="Q22" s="25">
        <f>P22/$P$49</f>
        <v>1.1495792954463963E-4</v>
      </c>
    </row>
    <row r="23" spans="1:17" ht="13">
      <c r="A23" s="13" t="s">
        <v>56</v>
      </c>
      <c r="B23" s="142"/>
      <c r="C23" s="79">
        <v>0</v>
      </c>
      <c r="D23" s="63">
        <v>1</v>
      </c>
      <c r="E23" s="64">
        <v>7</v>
      </c>
      <c r="H23" s="64">
        <f>D23*C23*E23</f>
        <v>0</v>
      </c>
      <c r="I23" s="25">
        <f t="shared" si="5"/>
        <v>0</v>
      </c>
      <c r="J23" s="45"/>
      <c r="K23" s="80">
        <v>0.02</v>
      </c>
      <c r="L23" t="s">
        <v>125</v>
      </c>
      <c r="M23" s="60">
        <v>5</v>
      </c>
      <c r="N23" s="24">
        <v>75</v>
      </c>
      <c r="O23" s="29"/>
      <c r="P23" s="70">
        <f>N23*M23*K23/$F$5</f>
        <v>1.875</v>
      </c>
      <c r="Q23" s="25">
        <f>P23/$P$49</f>
        <v>1.306340108461814E-4</v>
      </c>
    </row>
    <row r="24" spans="1:17" ht="13">
      <c r="A24" s="20" t="s">
        <v>124</v>
      </c>
      <c r="C24" s="79">
        <v>6</v>
      </c>
      <c r="D24" s="63">
        <v>1</v>
      </c>
      <c r="E24" s="64">
        <f>65*15%</f>
        <v>9.75</v>
      </c>
      <c r="H24" s="64">
        <f>D24*C24*E24</f>
        <v>58.5</v>
      </c>
      <c r="I24" s="25">
        <f t="shared" si="5"/>
        <v>1.7661718266403725E-2</v>
      </c>
      <c r="J24" s="45"/>
      <c r="K24" s="81"/>
      <c r="M24" s="78"/>
      <c r="N24" s="29"/>
      <c r="O24" s="29"/>
      <c r="P24" s="82"/>
      <c r="Q24" s="25"/>
    </row>
    <row r="25" spans="1:17" ht="13">
      <c r="A25" s="20" t="s">
        <v>126</v>
      </c>
      <c r="C25" s="79">
        <f>+I4/F4</f>
        <v>0.23076924852071146</v>
      </c>
      <c r="D25" s="63">
        <v>1</v>
      </c>
      <c r="E25" s="64">
        <f>F7</f>
        <v>63.263333333333335</v>
      </c>
      <c r="H25" s="64">
        <f>D25*C25*E25</f>
        <v>14.599231892248609</v>
      </c>
      <c r="I25" s="25">
        <f t="shared" si="5"/>
        <v>4.407649924560531E-3</v>
      </c>
      <c r="J25" s="45"/>
      <c r="K25" s="80">
        <v>0.02</v>
      </c>
      <c r="L25" t="s">
        <v>128</v>
      </c>
      <c r="M25" s="60">
        <v>2</v>
      </c>
      <c r="N25" s="24">
        <v>75</v>
      </c>
      <c r="O25" s="29"/>
      <c r="P25" s="70">
        <f>N25*M25*K25/$F$5</f>
        <v>0.75</v>
      </c>
      <c r="Q25" s="25">
        <f>P25/$P$49</f>
        <v>5.2253604338472558E-5</v>
      </c>
    </row>
    <row r="26" spans="1:17" ht="13">
      <c r="A26" s="83" t="s">
        <v>127</v>
      </c>
      <c r="B26" s="84">
        <v>0</v>
      </c>
      <c r="C26" s="79">
        <f>-C25</f>
        <v>-0.23076924852071146</v>
      </c>
      <c r="D26" s="85">
        <f>+SUMPRODUCT(B14:B18,D14:D18)/(SUM(B14:B18))</f>
        <v>1.2916666666666667</v>
      </c>
      <c r="E26" s="86">
        <f>+E14</f>
        <v>8.6268573948063398</v>
      </c>
      <c r="F26" s="86">
        <f>E26*D26</f>
        <v>11.143024134958189</v>
      </c>
      <c r="H26" s="86">
        <f>D26*B26*E26</f>
        <v>0</v>
      </c>
      <c r="I26" s="25">
        <f t="shared" si="5"/>
        <v>0</v>
      </c>
      <c r="J26" s="45"/>
      <c r="K26" s="88">
        <v>0.5</v>
      </c>
      <c r="L26" t="s">
        <v>130</v>
      </c>
      <c r="M26" s="89"/>
      <c r="N26" s="24">
        <f>180+180+180+220+260</f>
        <v>1020</v>
      </c>
      <c r="O26" s="29"/>
      <c r="P26" s="70">
        <f>N26*K26/B11/12</f>
        <v>0.64393939393939392</v>
      </c>
      <c r="Q26" s="25">
        <f>P26/$P$49</f>
        <v>4.4864205745153204E-5</v>
      </c>
    </row>
    <row r="27" spans="1:17" ht="13">
      <c r="A27" s="87" t="s">
        <v>129</v>
      </c>
      <c r="C27" s="79">
        <f>-I4/F4</f>
        <v>-0.23076924852071146</v>
      </c>
      <c r="D27" s="63">
        <f>+D24</f>
        <v>1</v>
      </c>
      <c r="E27" s="64"/>
      <c r="F27" s="86">
        <f>+SUMPRODUCT(C21:C24,E21:E24)/(SUM(C21:C24))</f>
        <v>9.1884286974031699</v>
      </c>
      <c r="H27" s="86">
        <f>D27*C27*F27</f>
        <v>-2.1204067855858693</v>
      </c>
      <c r="I27" s="25">
        <f t="shared" si="5"/>
        <v>-6.4017140610578391E-4</v>
      </c>
      <c r="J27" s="45"/>
      <c r="K27" s="90">
        <v>4</v>
      </c>
      <c r="L27" s="13" t="s">
        <v>132</v>
      </c>
      <c r="M27" s="91">
        <f>+K27/B11</f>
        <v>6.0606060606060608E-2</v>
      </c>
      <c r="N27" s="29">
        <f>H32+H41+H48+H70+SUM(P5:P25)+H33</f>
        <v>13532.293909524649</v>
      </c>
      <c r="O27" s="29"/>
      <c r="P27" s="92">
        <f>N27*M27</f>
        <v>820.13902481967568</v>
      </c>
      <c r="Q27" s="25">
        <f>P27/$P$49</f>
        <v>5.714029347395741E-2</v>
      </c>
    </row>
    <row r="28" spans="1:17" ht="13">
      <c r="A28" s="20" t="s">
        <v>131</v>
      </c>
      <c r="C28" s="79">
        <v>1</v>
      </c>
      <c r="D28" s="63">
        <v>1</v>
      </c>
      <c r="E28" s="24">
        <f>F7</f>
        <v>63.263333333333335</v>
      </c>
      <c r="H28" s="64">
        <f>D28*C28*E28</f>
        <v>63.263333333333335</v>
      </c>
      <c r="I28" s="25">
        <f t="shared" si="5"/>
        <v>1.909981487054566E-2</v>
      </c>
      <c r="J28" s="45"/>
      <c r="K28" s="90"/>
      <c r="L28" s="13"/>
      <c r="M28" s="91"/>
      <c r="N28" s="29"/>
      <c r="O28" s="29"/>
      <c r="P28" s="92"/>
      <c r="Q28" s="25"/>
    </row>
    <row r="29" spans="1:17" ht="13">
      <c r="A29" s="20" t="s">
        <v>50</v>
      </c>
      <c r="C29" s="79">
        <v>1</v>
      </c>
      <c r="D29" s="63">
        <v>1</v>
      </c>
      <c r="E29" s="24">
        <f>+E30</f>
        <v>151.65678445859655</v>
      </c>
      <c r="H29" s="64">
        <f>E29*D29*C29</f>
        <v>151.65678445859655</v>
      </c>
      <c r="I29" s="25">
        <f t="shared" si="5"/>
        <v>4.5786656415323881E-2</v>
      </c>
      <c r="J29" s="45"/>
    </row>
    <row r="30" spans="1:17" ht="13">
      <c r="A30" s="20" t="s">
        <v>49</v>
      </c>
      <c r="C30" s="79">
        <v>1</v>
      </c>
      <c r="D30" s="63">
        <v>1</v>
      </c>
      <c r="E30" s="93">
        <f>(SUM(H14:H27))/C21</f>
        <v>151.65678445859655</v>
      </c>
      <c r="H30" s="64">
        <f>E30*D30*C30</f>
        <v>151.65678445859655</v>
      </c>
      <c r="I30" s="25">
        <f t="shared" si="5"/>
        <v>4.5786656415323881E-2</v>
      </c>
      <c r="J30" s="45"/>
    </row>
    <row r="31" spans="1:17" ht="13">
      <c r="A31" s="73" t="s">
        <v>133</v>
      </c>
      <c r="B31" s="94">
        <f>+B20+B26</f>
        <v>66</v>
      </c>
      <c r="C31" s="95">
        <f>+C21+C26</f>
        <v>5.7692307514792889</v>
      </c>
      <c r="F31" s="72" t="s">
        <v>134</v>
      </c>
      <c r="H31" s="96">
        <f>SUM(H14:H30)</f>
        <v>1276.5176090021057</v>
      </c>
      <c r="J31" s="45"/>
    </row>
    <row r="32" spans="1:17" ht="14" thickBot="1">
      <c r="A32" s="73"/>
      <c r="B32" s="97"/>
      <c r="C32" s="98"/>
      <c r="D32" s="99"/>
      <c r="E32" s="100" t="s">
        <v>135</v>
      </c>
      <c r="F32" s="99"/>
      <c r="H32" s="101">
        <f>H31*365/(7*12)</f>
        <v>5546.7729438781971</v>
      </c>
      <c r="I32" s="102">
        <f>H32/$P$49</f>
        <v>0.38645183835300795</v>
      </c>
      <c r="J32" s="45"/>
    </row>
    <row r="33" spans="1:23" ht="15" thickTop="1" thickBot="1">
      <c r="A33" s="20"/>
      <c r="B33" s="20"/>
      <c r="C33" s="103">
        <f>C21*((365)/7)/12</f>
        <v>26.071428571428573</v>
      </c>
      <c r="D33" s="104" t="s">
        <v>136</v>
      </c>
      <c r="E33" s="162">
        <f>65*35%-E22</f>
        <v>17.399999999999999</v>
      </c>
      <c r="G33" s="114"/>
      <c r="H33" s="66">
        <f>+E33*C33</f>
        <v>453.64285714285711</v>
      </c>
      <c r="I33" s="166">
        <f>H33/$P$49</f>
        <v>3.1605965824156111E-2</v>
      </c>
      <c r="J33" s="45"/>
      <c r="N33" s="106" t="s">
        <v>137</v>
      </c>
      <c r="O33" s="106"/>
      <c r="P33" s="101">
        <f>SUM(P5:P27)</f>
        <v>2141.9334113726145</v>
      </c>
      <c r="Q33" s="107">
        <f>P33/$P$49</f>
        <v>0.14923165466295918</v>
      </c>
    </row>
    <row r="34" spans="1:23" ht="14" thickTop="1">
      <c r="A34" s="105"/>
      <c r="B34" s="105"/>
      <c r="C34" s="105"/>
      <c r="G34" s="169"/>
      <c r="J34" s="45"/>
      <c r="Q34" s="29"/>
    </row>
    <row r="35" spans="1:23" ht="13">
      <c r="A35" s="14" t="s">
        <v>138</v>
      </c>
      <c r="C35" s="14" t="s">
        <v>139</v>
      </c>
      <c r="D35" s="108">
        <f>F5</f>
        <v>4</v>
      </c>
      <c r="E35" s="14" t="s">
        <v>99</v>
      </c>
      <c r="F35" s="14" t="s">
        <v>140</v>
      </c>
      <c r="H35" s="14" t="s">
        <v>74</v>
      </c>
      <c r="I35" s="14"/>
      <c r="J35" s="45"/>
      <c r="K35" s="110" t="s">
        <v>142</v>
      </c>
      <c r="L35" s="111"/>
      <c r="M35" s="111"/>
      <c r="N35" s="111"/>
      <c r="O35" s="111"/>
      <c r="P35" s="112"/>
      <c r="Q35" s="72"/>
    </row>
    <row r="36" spans="1:23" ht="13">
      <c r="A36" s="13" t="s">
        <v>141</v>
      </c>
      <c r="C36" s="79">
        <v>5</v>
      </c>
      <c r="D36" s="65">
        <f>+C36*D35</f>
        <v>20</v>
      </c>
      <c r="E36" s="79">
        <f>F9</f>
        <v>227.94957303609033</v>
      </c>
      <c r="F36" s="109">
        <v>1</v>
      </c>
      <c r="H36" s="24">
        <f>+E36*C36*F36</f>
        <v>1139.7478651804518</v>
      </c>
      <c r="I36" s="25">
        <f t="shared" ref="I36:I41" si="6">H36/$P$49</f>
        <v>7.9407911990344124E-2</v>
      </c>
      <c r="J36" s="45"/>
      <c r="K36" s="111"/>
      <c r="L36" s="111" t="s">
        <v>96</v>
      </c>
      <c r="M36" s="113"/>
      <c r="N36" s="113"/>
      <c r="O36" s="113"/>
      <c r="P36" s="24">
        <f>H32</f>
        <v>5546.7729438781971</v>
      </c>
      <c r="Q36" s="107">
        <f>P36/$P$49</f>
        <v>0.38645183835300795</v>
      </c>
    </row>
    <row r="37" spans="1:23" ht="13">
      <c r="A37" s="13" t="s">
        <v>143</v>
      </c>
      <c r="C37" s="79">
        <f>D37/$D$35</f>
        <v>2.5</v>
      </c>
      <c r="D37" s="65">
        <f>+(IF(F4*7&lt;=3*360/12,0,IF(F4*7&lt;=6*365/12,10,ROUND(F4*7/364,0)*30)))</f>
        <v>10</v>
      </c>
      <c r="E37" s="79">
        <f>F9</f>
        <v>227.94957303609033</v>
      </c>
      <c r="F37" s="109">
        <v>1</v>
      </c>
      <c r="H37" s="24">
        <f>+E37*C37*F37</f>
        <v>569.87393259022588</v>
      </c>
      <c r="I37" s="25">
        <f t="shared" si="6"/>
        <v>3.9703955995172062E-2</v>
      </c>
      <c r="J37" s="45"/>
      <c r="K37" s="111"/>
      <c r="L37" t="s">
        <v>136</v>
      </c>
      <c r="P37" s="114">
        <f>+H33</f>
        <v>453.64285714285711</v>
      </c>
      <c r="Q37" s="107">
        <f>P37/$P$49</f>
        <v>3.1605965824156111E-2</v>
      </c>
    </row>
    <row r="38" spans="1:23" ht="13">
      <c r="A38" s="13" t="s">
        <v>144</v>
      </c>
      <c r="C38" s="79">
        <f>D38/$D$35</f>
        <v>3.75</v>
      </c>
      <c r="D38" s="65">
        <f>+(IF(F4*7&lt;=360/12,0,IF(F4*7&lt;=6*365/12,15,IF(F4*7&lt;=365,30,IF(F4*7&lt;2*365,45,IF(F4*7&lt;10*365.25,60,90))))))</f>
        <v>15</v>
      </c>
      <c r="E38" s="79">
        <f>F9</f>
        <v>227.94957303609033</v>
      </c>
      <c r="F38" s="109">
        <v>1</v>
      </c>
      <c r="H38" s="24">
        <f>+E38*C38*F38</f>
        <v>854.8108988853387</v>
      </c>
      <c r="I38" s="25">
        <f t="shared" si="6"/>
        <v>5.9555933992758082E-2</v>
      </c>
      <c r="J38" s="45"/>
      <c r="K38" s="111"/>
      <c r="L38" s="111" t="s">
        <v>138</v>
      </c>
      <c r="P38" s="24">
        <f>H41</f>
        <v>4274.8065237614474</v>
      </c>
      <c r="Q38" s="107">
        <f>P38/$P$49</f>
        <v>0.2978320649548693</v>
      </c>
    </row>
    <row r="39" spans="1:23" ht="13">
      <c r="A39" s="20" t="s">
        <v>145</v>
      </c>
      <c r="C39" s="79">
        <v>5.416666666666667</v>
      </c>
      <c r="D39" s="65">
        <f>ROUND(D35,0)*C39</f>
        <v>21.666666666666668</v>
      </c>
      <c r="E39" s="79">
        <f>F7</f>
        <v>63.263333333333335</v>
      </c>
      <c r="F39" s="109">
        <v>1</v>
      </c>
      <c r="H39" s="24">
        <f>+E39*C39*F39</f>
        <v>342.67638888888894</v>
      </c>
      <c r="I39" s="25">
        <f t="shared" si="6"/>
        <v>2.3874768588182077E-2</v>
      </c>
      <c r="J39" s="45"/>
      <c r="K39" s="111"/>
      <c r="L39" s="111" t="s">
        <v>147</v>
      </c>
      <c r="P39" s="24">
        <f>H48</f>
        <v>1089.1361375831498</v>
      </c>
      <c r="Q39" s="107">
        <f>P39/$P$49</f>
        <v>7.5881718405336154E-2</v>
      </c>
    </row>
    <row r="40" spans="1:23" ht="13">
      <c r="A40" s="20" t="s">
        <v>146</v>
      </c>
      <c r="C40" s="79">
        <v>7.5</v>
      </c>
      <c r="D40" s="65">
        <f>ROUND(D35,0)*C40</f>
        <v>30</v>
      </c>
      <c r="E40" s="79">
        <f>F8</f>
        <v>182.35965842887225</v>
      </c>
      <c r="F40" s="109">
        <v>1</v>
      </c>
      <c r="H40" s="24">
        <f>+E40*C40*F40</f>
        <v>1367.697438216542</v>
      </c>
      <c r="I40" s="25">
        <f t="shared" si="6"/>
        <v>9.5289494388412929E-2</v>
      </c>
      <c r="J40" s="45"/>
      <c r="K40" s="111"/>
      <c r="N40" s="117"/>
    </row>
    <row r="41" spans="1:23" ht="14" thickBot="1">
      <c r="C41" s="115"/>
      <c r="D41" s="116"/>
      <c r="E41" s="100" t="s">
        <v>148</v>
      </c>
      <c r="F41" s="116"/>
      <c r="H41" s="101">
        <f>SUM(H36:H40)</f>
        <v>4274.8065237614474</v>
      </c>
      <c r="I41" s="102">
        <f t="shared" si="6"/>
        <v>0.2978320649548693</v>
      </c>
      <c r="J41" s="45"/>
      <c r="K41" s="111"/>
      <c r="L41" s="5" t="s">
        <v>150</v>
      </c>
      <c r="P41" s="121">
        <f>SUM(P36:P40)</f>
        <v>11364.358462365652</v>
      </c>
      <c r="Q41" s="111"/>
    </row>
    <row r="42" spans="1:23" ht="14" thickTop="1">
      <c r="A42" s="118" t="s">
        <v>149</v>
      </c>
      <c r="B42" s="29">
        <f>967.5*1.1</f>
        <v>1064.25</v>
      </c>
      <c r="C42" s="115"/>
      <c r="D42" s="119"/>
      <c r="E42" s="119"/>
      <c r="F42" s="119"/>
      <c r="H42" s="119"/>
      <c r="I42" s="120"/>
      <c r="J42" s="45"/>
      <c r="L42" s="111"/>
      <c r="P42" s="111"/>
      <c r="Q42" s="111"/>
    </row>
    <row r="43" spans="1:23" ht="13">
      <c r="A43" s="14" t="s">
        <v>147</v>
      </c>
      <c r="B43" s="14" t="s">
        <v>140</v>
      </c>
      <c r="D43" s="14" t="s">
        <v>151</v>
      </c>
      <c r="E43" s="14" t="s">
        <v>152</v>
      </c>
      <c r="F43" s="14" t="s">
        <v>100</v>
      </c>
      <c r="H43" s="14" t="s">
        <v>74</v>
      </c>
      <c r="I43" s="14"/>
      <c r="J43" s="45"/>
      <c r="K43" s="110" t="s">
        <v>1</v>
      </c>
      <c r="Q43" s="111"/>
    </row>
    <row r="44" spans="1:23" ht="13">
      <c r="A44" s="20" t="s">
        <v>153</v>
      </c>
      <c r="B44" s="46">
        <v>0.11</v>
      </c>
      <c r="D44" s="72" t="s">
        <v>154</v>
      </c>
      <c r="E44" s="72" t="s">
        <v>0</v>
      </c>
      <c r="F44" s="24">
        <f>IF((H32)&gt;5*B42,((5*B42)),(H32))</f>
        <v>5321.25</v>
      </c>
      <c r="H44" s="24">
        <f>B44*F44</f>
        <v>585.33749999999998</v>
      </c>
      <c r="I44" s="25">
        <f>H44/$P$49</f>
        <v>4.0781325505960905E-2</v>
      </c>
      <c r="J44" s="45"/>
      <c r="K44" s="111"/>
      <c r="L44" s="123" t="s">
        <v>4</v>
      </c>
      <c r="P44" s="24">
        <f>H70</f>
        <v>846.78499999999997</v>
      </c>
      <c r="Q44" s="107">
        <f>P44/$P$49</f>
        <v>5.8996757799671312E-2</v>
      </c>
    </row>
    <row r="45" spans="1:23" ht="13">
      <c r="A45" s="13" t="s">
        <v>2</v>
      </c>
      <c r="B45" s="46">
        <v>0.02</v>
      </c>
      <c r="D45" s="72" t="s">
        <v>154</v>
      </c>
      <c r="E45" s="72" t="s">
        <v>3</v>
      </c>
      <c r="F45" s="122">
        <f>IF((H32)&gt;10*B42,((10*B42)),(H32))</f>
        <v>5546.7729438781971</v>
      </c>
      <c r="H45" s="122">
        <f>F45*B45</f>
        <v>110.93545887756395</v>
      </c>
      <c r="I45" s="25">
        <f>H45/$P$49</f>
        <v>7.7290367670601592E-3</v>
      </c>
      <c r="J45" s="45"/>
      <c r="K45" s="111"/>
      <c r="L45" s="125" t="s">
        <v>73</v>
      </c>
      <c r="P45" s="24">
        <f>P33</f>
        <v>2141.9334113726145</v>
      </c>
      <c r="Q45" s="107">
        <f>P45/$P$49</f>
        <v>0.14923165466295918</v>
      </c>
    </row>
    <row r="46" spans="1:23" s="72" customFormat="1" ht="13">
      <c r="A46" s="20" t="s">
        <v>5</v>
      </c>
      <c r="B46" s="124">
        <v>0.02</v>
      </c>
      <c r="C46"/>
      <c r="D46" s="141" t="s">
        <v>7</v>
      </c>
      <c r="E46" s="89"/>
      <c r="F46" s="24">
        <f>+H32+H41</f>
        <v>9821.5794676396436</v>
      </c>
      <c r="G46"/>
      <c r="H46" s="24">
        <f>F46*B46</f>
        <v>196.43158935279288</v>
      </c>
      <c r="I46" s="25">
        <f>H46/$P$49</f>
        <v>1.3685678066157544E-2</v>
      </c>
      <c r="J46" s="127"/>
      <c r="K46"/>
      <c r="L46" s="111"/>
      <c r="M46"/>
      <c r="N46"/>
      <c r="O46"/>
      <c r="P46" s="111"/>
      <c r="Q46" s="111"/>
    </row>
    <row r="47" spans="1:23" s="113" customFormat="1" ht="15">
      <c r="A47" s="20" t="s">
        <v>6</v>
      </c>
      <c r="B47" s="124">
        <v>0.02</v>
      </c>
      <c r="C47"/>
      <c r="D47" s="141" t="s">
        <v>7</v>
      </c>
      <c r="E47" s="126"/>
      <c r="F47" s="24">
        <f>H31*365/(7*12)+H41</f>
        <v>9821.5794676396436</v>
      </c>
      <c r="G47"/>
      <c r="H47" s="122">
        <f>+F47*B47</f>
        <v>196.43158935279288</v>
      </c>
      <c r="I47" s="25">
        <f>H47/$P$49</f>
        <v>1.3685678066157544E-2</v>
      </c>
      <c r="J47" s="45"/>
      <c r="K47"/>
      <c r="L47" s="5" t="s">
        <v>9</v>
      </c>
      <c r="M47"/>
      <c r="P47" s="121">
        <f>SUM(P44:P46)</f>
        <v>2988.7184113726144</v>
      </c>
      <c r="Q47"/>
      <c r="R47" s="130"/>
      <c r="S47" s="130"/>
      <c r="T47" s="130"/>
      <c r="U47" s="130"/>
      <c r="V47" s="130"/>
      <c r="W47" s="130"/>
    </row>
    <row r="48" spans="1:23" ht="14" thickBot="1">
      <c r="A48" s="20"/>
      <c r="B48" s="20"/>
      <c r="C48" s="128"/>
      <c r="D48" s="129"/>
      <c r="E48" s="100" t="s">
        <v>8</v>
      </c>
      <c r="F48" s="129"/>
      <c r="H48" s="116">
        <f>SUM(H44:H47)</f>
        <v>1089.1361375831498</v>
      </c>
      <c r="I48" s="102">
        <f>H48/$P$49</f>
        <v>7.5881718405336154E-2</v>
      </c>
      <c r="J48" s="45"/>
      <c r="K48" s="131"/>
      <c r="R48" s="111"/>
      <c r="S48" s="111"/>
      <c r="T48" s="111"/>
      <c r="U48" s="111"/>
      <c r="V48" s="111"/>
      <c r="W48" s="111"/>
    </row>
    <row r="49" spans="1:23" ht="16" thickTop="1" thickBot="1">
      <c r="A49" s="20"/>
      <c r="B49" s="20"/>
      <c r="C49" s="20"/>
      <c r="D49" s="20"/>
      <c r="I49" s="113"/>
      <c r="J49" s="45"/>
      <c r="K49" s="131"/>
      <c r="L49" s="110" t="s">
        <v>17</v>
      </c>
      <c r="N49" s="5" t="s">
        <v>18</v>
      </c>
      <c r="P49" s="101">
        <f>P41+P47</f>
        <v>14353.076873738266</v>
      </c>
      <c r="Q49" s="107">
        <f>SUM(Q36:Q47)</f>
        <v>1</v>
      </c>
      <c r="R49" s="134"/>
      <c r="S49" s="135"/>
      <c r="T49" s="135"/>
      <c r="U49" s="135"/>
      <c r="V49" s="135"/>
      <c r="W49" s="135"/>
    </row>
    <row r="50" spans="1:23" ht="15" thickTop="1">
      <c r="A50" s="132" t="s">
        <v>10</v>
      </c>
      <c r="B50" s="132" t="s">
        <v>11</v>
      </c>
      <c r="C50" s="132" t="s">
        <v>12</v>
      </c>
      <c r="D50" s="132" t="s">
        <v>13</v>
      </c>
      <c r="E50" s="132" t="s">
        <v>14</v>
      </c>
      <c r="F50" s="132" t="s">
        <v>15</v>
      </c>
      <c r="G50" s="132" t="s">
        <v>69</v>
      </c>
      <c r="H50" s="133" t="s">
        <v>16</v>
      </c>
      <c r="I50" s="141"/>
      <c r="J50" s="45"/>
      <c r="K50" s="131"/>
      <c r="M50" s="142"/>
      <c r="N50" s="142"/>
      <c r="O50" s="142"/>
      <c r="R50" s="134"/>
      <c r="S50" s="135"/>
      <c r="T50" s="135"/>
      <c r="U50" s="135"/>
      <c r="V50" s="135"/>
      <c r="W50" s="135"/>
    </row>
    <row r="51" spans="1:23" ht="14.25">
      <c r="A51" s="136" t="s">
        <v>48</v>
      </c>
      <c r="B51" s="137" t="s">
        <v>11</v>
      </c>
      <c r="C51" s="138">
        <v>14</v>
      </c>
      <c r="D51" s="139">
        <v>1</v>
      </c>
      <c r="E51" s="137">
        <v>14.5</v>
      </c>
      <c r="F51" s="137">
        <v>1</v>
      </c>
      <c r="G51" s="140">
        <f t="shared" ref="G51:G69" si="7">+IF(C51="NA",0,CEILING(ROUND(($F$5)/F51,1),1)*C51)</f>
        <v>56</v>
      </c>
      <c r="H51" s="140">
        <f t="shared" ref="H51:H69" si="8">+G51*E51*D51</f>
        <v>812</v>
      </c>
      <c r="I51" s="141"/>
      <c r="J51" s="45"/>
      <c r="K51" s="131"/>
      <c r="L51" s="143" t="s">
        <v>22</v>
      </c>
      <c r="N51" s="144">
        <f>+P49*12/52</f>
        <v>3312.2485093242149</v>
      </c>
      <c r="P51" s="145"/>
      <c r="Q51" s="111"/>
      <c r="R51" s="134"/>
    </row>
    <row r="52" spans="1:23" ht="14.25">
      <c r="A52" s="136" t="s">
        <v>20</v>
      </c>
      <c r="B52" s="137" t="s">
        <v>21</v>
      </c>
      <c r="C52" s="138">
        <v>1</v>
      </c>
      <c r="D52" s="139">
        <v>1</v>
      </c>
      <c r="E52" s="137">
        <v>250</v>
      </c>
      <c r="F52" s="137">
        <v>4</v>
      </c>
      <c r="G52" s="140">
        <f t="shared" si="7"/>
        <v>1</v>
      </c>
      <c r="H52" s="140">
        <f t="shared" si="8"/>
        <v>250</v>
      </c>
      <c r="I52" s="141"/>
      <c r="J52" s="45"/>
      <c r="K52" s="114"/>
      <c r="L52" s="143" t="s">
        <v>24</v>
      </c>
      <c r="N52" s="144">
        <f>+N51/C31</f>
        <v>574.12307671606322</v>
      </c>
      <c r="O52" s="146">
        <f>+(N52/F7)-1</f>
        <v>8.0751316199388246</v>
      </c>
      <c r="R52" s="134"/>
    </row>
    <row r="53" spans="1:23" ht="14.25">
      <c r="A53" s="136" t="s">
        <v>23</v>
      </c>
      <c r="B53" s="137" t="s">
        <v>11</v>
      </c>
      <c r="C53" s="138">
        <v>1</v>
      </c>
      <c r="D53" s="139">
        <v>0</v>
      </c>
      <c r="E53" s="137">
        <v>104</v>
      </c>
      <c r="F53" s="137">
        <v>12</v>
      </c>
      <c r="G53" s="140">
        <f t="shared" si="7"/>
        <v>1</v>
      </c>
      <c r="H53" s="140">
        <f t="shared" si="8"/>
        <v>0</v>
      </c>
      <c r="I53" s="141"/>
      <c r="J53" s="45"/>
      <c r="K53" s="131"/>
      <c r="L53" s="163"/>
      <c r="M53" s="142"/>
      <c r="N53" s="30"/>
      <c r="O53" s="164"/>
      <c r="Q53" s="147"/>
      <c r="R53" s="134"/>
    </row>
    <row r="54" spans="1:23" ht="14.25">
      <c r="A54" s="136" t="s">
        <v>25</v>
      </c>
      <c r="B54" s="137" t="s">
        <v>11</v>
      </c>
      <c r="C54" s="138">
        <v>2</v>
      </c>
      <c r="D54" s="139">
        <v>1</v>
      </c>
      <c r="E54" s="137">
        <v>70</v>
      </c>
      <c r="F54" s="137">
        <v>6</v>
      </c>
      <c r="G54" s="140">
        <f t="shared" si="7"/>
        <v>2</v>
      </c>
      <c r="H54" s="140">
        <f t="shared" si="8"/>
        <v>140</v>
      </c>
      <c r="I54" s="141"/>
      <c r="J54" s="45"/>
      <c r="K54" s="131"/>
      <c r="M54" s="148"/>
      <c r="N54" s="148"/>
      <c r="O54" s="149"/>
      <c r="P54" s="150"/>
      <c r="R54" s="134"/>
    </row>
    <row r="55" spans="1:23" ht="14.25">
      <c r="A55" s="136" t="s">
        <v>26</v>
      </c>
      <c r="B55" s="137" t="s">
        <v>11</v>
      </c>
      <c r="C55" s="138">
        <v>2</v>
      </c>
      <c r="D55" s="139">
        <v>1</v>
      </c>
      <c r="E55" s="137">
        <v>75</v>
      </c>
      <c r="F55" s="137">
        <v>6</v>
      </c>
      <c r="G55" s="140">
        <f t="shared" si="7"/>
        <v>2</v>
      </c>
      <c r="H55" s="140">
        <f t="shared" si="8"/>
        <v>150</v>
      </c>
      <c r="I55" s="141"/>
      <c r="J55" s="45"/>
      <c r="K55" s="131"/>
      <c r="L55" s="143"/>
      <c r="M55" s="151"/>
      <c r="N55" s="152"/>
      <c r="O55" s="72"/>
      <c r="P55" s="114"/>
      <c r="R55" s="134"/>
    </row>
    <row r="56" spans="1:23" ht="14.25">
      <c r="A56" s="136" t="s">
        <v>27</v>
      </c>
      <c r="B56" s="137" t="s">
        <v>11</v>
      </c>
      <c r="C56" s="138">
        <v>2</v>
      </c>
      <c r="D56" s="139">
        <v>1</v>
      </c>
      <c r="E56" s="137">
        <v>18</v>
      </c>
      <c r="F56" s="137">
        <v>1</v>
      </c>
      <c r="G56" s="140">
        <f t="shared" si="7"/>
        <v>8</v>
      </c>
      <c r="H56" s="140">
        <f t="shared" si="8"/>
        <v>144</v>
      </c>
      <c r="I56" s="141"/>
      <c r="J56" s="45"/>
      <c r="K56" s="131"/>
      <c r="L56" s="143"/>
      <c r="O56" s="153"/>
      <c r="P56" s="114"/>
      <c r="R56" s="134"/>
    </row>
    <row r="57" spans="1:23" ht="14.25">
      <c r="A57" s="136" t="s">
        <v>28</v>
      </c>
      <c r="B57" s="137" t="s">
        <v>11</v>
      </c>
      <c r="C57" s="138">
        <v>1</v>
      </c>
      <c r="D57" s="139">
        <v>1</v>
      </c>
      <c r="E57" s="137">
        <v>45</v>
      </c>
      <c r="F57" s="137">
        <v>12</v>
      </c>
      <c r="G57" s="140">
        <f t="shared" si="7"/>
        <v>1</v>
      </c>
      <c r="H57" s="140">
        <f t="shared" si="8"/>
        <v>45</v>
      </c>
      <c r="I57" s="141"/>
      <c r="J57" s="45"/>
      <c r="K57" s="131"/>
      <c r="O57" s="72"/>
      <c r="R57" s="134"/>
    </row>
    <row r="58" spans="1:23" ht="14.25">
      <c r="A58" s="136" t="s">
        <v>29</v>
      </c>
      <c r="B58" s="137" t="s">
        <v>11</v>
      </c>
      <c r="C58" s="138">
        <v>1</v>
      </c>
      <c r="D58" s="139">
        <v>1</v>
      </c>
      <c r="E58" s="137">
        <v>45</v>
      </c>
      <c r="F58" s="137">
        <v>12</v>
      </c>
      <c r="G58" s="140">
        <f t="shared" si="7"/>
        <v>1</v>
      </c>
      <c r="H58" s="140">
        <f t="shared" si="8"/>
        <v>45</v>
      </c>
      <c r="I58" s="141"/>
      <c r="J58" s="45"/>
      <c r="K58" s="131"/>
      <c r="L58" s="143"/>
      <c r="N58" s="145"/>
      <c r="O58" s="154"/>
      <c r="P58" s="114"/>
      <c r="R58" s="134"/>
    </row>
    <row r="59" spans="1:23" ht="14.25">
      <c r="A59" s="136" t="s">
        <v>30</v>
      </c>
      <c r="B59" s="137" t="s">
        <v>11</v>
      </c>
      <c r="C59" s="138">
        <v>2</v>
      </c>
      <c r="D59" s="139">
        <v>1</v>
      </c>
      <c r="E59" s="137">
        <v>280</v>
      </c>
      <c r="F59" s="137">
        <v>12</v>
      </c>
      <c r="G59" s="140">
        <f t="shared" si="7"/>
        <v>2</v>
      </c>
      <c r="H59" s="140">
        <f t="shared" si="8"/>
        <v>560</v>
      </c>
      <c r="I59" s="141"/>
      <c r="J59" s="45"/>
      <c r="K59" s="131"/>
      <c r="L59" s="143"/>
      <c r="O59" s="155"/>
      <c r="P59" s="114"/>
      <c r="R59" s="134"/>
    </row>
    <row r="60" spans="1:23" ht="14.25">
      <c r="A60" s="136" t="s">
        <v>31</v>
      </c>
      <c r="B60" s="137" t="s">
        <v>11</v>
      </c>
      <c r="C60" s="138">
        <v>1</v>
      </c>
      <c r="D60" s="139">
        <v>1</v>
      </c>
      <c r="E60" s="137">
        <v>450</v>
      </c>
      <c r="F60" s="137">
        <v>12</v>
      </c>
      <c r="G60" s="140">
        <f t="shared" si="7"/>
        <v>1</v>
      </c>
      <c r="H60" s="140">
        <f t="shared" si="8"/>
        <v>450</v>
      </c>
      <c r="I60" s="141"/>
      <c r="J60" s="6"/>
      <c r="K60" s="131"/>
      <c r="L60" s="143"/>
      <c r="O60" s="155"/>
      <c r="P60" s="114"/>
      <c r="R60" s="134"/>
    </row>
    <row r="61" spans="1:23" s="142" customFormat="1" ht="14.25">
      <c r="A61" s="136" t="s">
        <v>32</v>
      </c>
      <c r="B61" s="137" t="s">
        <v>11</v>
      </c>
      <c r="C61" s="138">
        <f>3*4.33</f>
        <v>12.99</v>
      </c>
      <c r="D61" s="139">
        <v>1</v>
      </c>
      <c r="E61" s="137">
        <v>9</v>
      </c>
      <c r="F61" s="137">
        <v>1</v>
      </c>
      <c r="G61" s="140">
        <f t="shared" si="7"/>
        <v>51.96</v>
      </c>
      <c r="H61" s="140">
        <f t="shared" si="8"/>
        <v>467.64</v>
      </c>
      <c r="I61" s="141"/>
      <c r="J61" s="6"/>
      <c r="K61" s="131"/>
      <c r="L61" s="156"/>
      <c r="P61" s="157"/>
      <c r="R61" s="158"/>
    </row>
    <row r="62" spans="1:23" ht="14.25">
      <c r="A62" s="136" t="s">
        <v>33</v>
      </c>
      <c r="B62" s="137" t="s">
        <v>11</v>
      </c>
      <c r="C62" s="138">
        <v>8</v>
      </c>
      <c r="D62" s="139">
        <v>0.1</v>
      </c>
      <c r="E62" s="137">
        <v>45</v>
      </c>
      <c r="F62" s="137">
        <v>1</v>
      </c>
      <c r="G62" s="140">
        <f t="shared" si="7"/>
        <v>32</v>
      </c>
      <c r="H62" s="140">
        <f t="shared" si="8"/>
        <v>144</v>
      </c>
      <c r="I62" s="141"/>
      <c r="J62" s="6"/>
      <c r="L62" s="134"/>
    </row>
    <row r="63" spans="1:23" ht="14.25">
      <c r="A63" s="136" t="s">
        <v>34</v>
      </c>
      <c r="B63" s="137" t="s">
        <v>11</v>
      </c>
      <c r="C63" s="138">
        <v>5</v>
      </c>
      <c r="D63" s="139">
        <v>0.1</v>
      </c>
      <c r="E63" s="137">
        <v>45</v>
      </c>
      <c r="F63" s="137">
        <v>1</v>
      </c>
      <c r="G63" s="140">
        <f t="shared" si="7"/>
        <v>20</v>
      </c>
      <c r="H63" s="140">
        <f t="shared" si="8"/>
        <v>90</v>
      </c>
      <c r="I63" s="141"/>
      <c r="J63" s="6"/>
      <c r="L63" s="134"/>
    </row>
    <row r="64" spans="1:23" ht="14.25">
      <c r="A64" s="136" t="s">
        <v>35</v>
      </c>
      <c r="B64" s="137" t="s">
        <v>11</v>
      </c>
      <c r="C64" s="138">
        <v>1</v>
      </c>
      <c r="D64" s="139">
        <v>0.1</v>
      </c>
      <c r="E64" s="137">
        <v>160</v>
      </c>
      <c r="F64" s="137">
        <v>3</v>
      </c>
      <c r="G64" s="140">
        <f t="shared" si="7"/>
        <v>2</v>
      </c>
      <c r="H64" s="140">
        <f t="shared" si="8"/>
        <v>32</v>
      </c>
      <c r="I64" s="141"/>
      <c r="J64" s="6"/>
      <c r="L64" s="134"/>
    </row>
    <row r="65" spans="1:12" ht="14.25">
      <c r="A65" s="136" t="s">
        <v>36</v>
      </c>
      <c r="B65" s="137" t="s">
        <v>11</v>
      </c>
      <c r="C65" s="138">
        <v>1</v>
      </c>
      <c r="D65" s="139">
        <v>0.1</v>
      </c>
      <c r="E65" s="137">
        <v>90</v>
      </c>
      <c r="F65" s="137">
        <v>6</v>
      </c>
      <c r="G65" s="140">
        <f t="shared" si="7"/>
        <v>1</v>
      </c>
      <c r="H65" s="140">
        <f t="shared" si="8"/>
        <v>9</v>
      </c>
      <c r="I65" s="141"/>
      <c r="J65" s="6"/>
      <c r="K65" s="134"/>
      <c r="L65" s="134"/>
    </row>
    <row r="66" spans="1:12" ht="14.25">
      <c r="A66" s="136" t="s">
        <v>37</v>
      </c>
      <c r="B66" s="137" t="s">
        <v>11</v>
      </c>
      <c r="C66" s="138">
        <v>1</v>
      </c>
      <c r="D66" s="139">
        <v>0.1</v>
      </c>
      <c r="E66" s="137">
        <v>195</v>
      </c>
      <c r="F66" s="137">
        <v>6</v>
      </c>
      <c r="G66" s="140">
        <f t="shared" si="7"/>
        <v>1</v>
      </c>
      <c r="H66" s="140">
        <f t="shared" si="8"/>
        <v>19.5</v>
      </c>
      <c r="I66" s="141"/>
      <c r="J66" s="6"/>
      <c r="K66" s="134"/>
      <c r="L66" s="134"/>
    </row>
    <row r="67" spans="1:12" ht="14.25">
      <c r="A67" s="136" t="s">
        <v>38</v>
      </c>
      <c r="B67" s="137" t="s">
        <v>11</v>
      </c>
      <c r="C67" s="138">
        <v>1</v>
      </c>
      <c r="D67" s="139">
        <v>0.1</v>
      </c>
      <c r="E67" s="137">
        <v>80</v>
      </c>
      <c r="F67" s="137">
        <v>6</v>
      </c>
      <c r="G67" s="140">
        <f t="shared" si="7"/>
        <v>1</v>
      </c>
      <c r="H67" s="140">
        <f t="shared" si="8"/>
        <v>8</v>
      </c>
      <c r="I67" s="141"/>
      <c r="J67" s="6"/>
      <c r="K67" s="134"/>
      <c r="L67" s="134"/>
    </row>
    <row r="68" spans="1:12" ht="14.25">
      <c r="A68" s="136" t="s">
        <v>39</v>
      </c>
      <c r="B68" s="137" t="s">
        <v>11</v>
      </c>
      <c r="C68" s="138">
        <v>1</v>
      </c>
      <c r="D68" s="139">
        <v>0.1</v>
      </c>
      <c r="E68" s="137">
        <v>15</v>
      </c>
      <c r="F68" s="137">
        <v>2</v>
      </c>
      <c r="G68" s="140">
        <f t="shared" si="7"/>
        <v>2</v>
      </c>
      <c r="H68" s="140">
        <f t="shared" si="8"/>
        <v>3</v>
      </c>
      <c r="I68" s="141"/>
      <c r="J68" s="6"/>
      <c r="K68" s="134"/>
      <c r="L68" s="134"/>
    </row>
    <row r="69" spans="1:12" ht="13">
      <c r="A69" s="136" t="s">
        <v>40</v>
      </c>
      <c r="B69" s="137" t="s">
        <v>11</v>
      </c>
      <c r="C69" s="138">
        <v>1</v>
      </c>
      <c r="D69" s="139">
        <v>0.1</v>
      </c>
      <c r="E69" s="137">
        <v>45</v>
      </c>
      <c r="F69" s="137">
        <v>1</v>
      </c>
      <c r="G69" s="140">
        <f t="shared" si="7"/>
        <v>4</v>
      </c>
      <c r="H69" s="140">
        <f t="shared" si="8"/>
        <v>18</v>
      </c>
      <c r="I69" s="141"/>
    </row>
    <row r="70" spans="1:12" ht="14" thickBot="1">
      <c r="A70" s="159"/>
      <c r="B70" s="142"/>
      <c r="C70" s="142"/>
      <c r="D70" s="142"/>
      <c r="E70" s="161" t="s">
        <v>41</v>
      </c>
      <c r="G70" s="161" t="s">
        <v>42</v>
      </c>
      <c r="H70" s="116">
        <f>SUM(H51:H69)/F5</f>
        <v>846.78499999999997</v>
      </c>
      <c r="I70" s="102">
        <f>H70/$P$49</f>
        <v>5.8996757799671312E-2</v>
      </c>
    </row>
    <row r="71" spans="1:12" ht="15" thickTop="1" thickBot="1">
      <c r="A71" s="159"/>
      <c r="B71" s="142"/>
      <c r="C71" s="160"/>
      <c r="D71" s="129"/>
      <c r="E71" s="142"/>
      <c r="F71" s="142"/>
      <c r="G71" s="142"/>
      <c r="H71" s="142"/>
      <c r="I71" s="141"/>
    </row>
    <row r="72" spans="1:12" ht="13.5" thickTop="1">
      <c r="A72" s="159"/>
      <c r="B72" s="142"/>
      <c r="C72" s="142"/>
      <c r="D72" s="142"/>
    </row>
    <row r="87" spans="1:9">
      <c r="E87" s="142"/>
      <c r="F87" s="142"/>
      <c r="G87" s="142"/>
      <c r="H87" s="142"/>
      <c r="I87" s="141"/>
    </row>
    <row r="88" spans="1:9">
      <c r="A88" s="142"/>
      <c r="B88" s="142"/>
      <c r="C88" s="142"/>
      <c r="D88" s="142"/>
      <c r="E88" s="142"/>
      <c r="F88" s="142"/>
      <c r="G88" s="142"/>
      <c r="H88" s="142"/>
      <c r="I88" s="141"/>
    </row>
    <row r="89" spans="1:9">
      <c r="A89" s="142"/>
      <c r="B89" s="142"/>
      <c r="C89" s="142"/>
      <c r="D89" s="142"/>
      <c r="E89" s="142"/>
      <c r="F89" s="142"/>
      <c r="G89" s="142"/>
      <c r="H89" s="142"/>
      <c r="I89" s="141"/>
    </row>
    <row r="90" spans="1:9">
      <c r="A90" s="142"/>
      <c r="B90" s="142"/>
      <c r="C90" s="142"/>
      <c r="D90" s="142"/>
      <c r="E90" s="142"/>
      <c r="F90" s="142"/>
      <c r="G90" s="142"/>
      <c r="H90" s="142"/>
      <c r="I90" s="141"/>
    </row>
    <row r="91" spans="1:9">
      <c r="A91" s="142"/>
      <c r="B91" s="142"/>
      <c r="C91" s="142"/>
      <c r="D91" s="142"/>
      <c r="E91" s="142"/>
      <c r="F91" s="142"/>
      <c r="G91" s="142"/>
      <c r="H91" s="142"/>
      <c r="I91" s="141"/>
    </row>
    <row r="92" spans="1:9">
      <c r="A92" s="142"/>
      <c r="B92" s="142"/>
      <c r="C92" s="142"/>
      <c r="D92" s="142"/>
      <c r="E92" s="142"/>
      <c r="F92" s="142"/>
      <c r="G92" s="142"/>
      <c r="H92" s="142"/>
      <c r="I92" s="141"/>
    </row>
    <row r="93" spans="1:9">
      <c r="A93" s="142"/>
      <c r="B93" s="142"/>
      <c r="C93" s="142"/>
      <c r="D93" s="142"/>
      <c r="E93" s="142"/>
      <c r="F93" s="142"/>
      <c r="G93" s="142"/>
      <c r="H93" s="142"/>
      <c r="I93" s="141"/>
    </row>
    <row r="94" spans="1:9">
      <c r="A94" s="142"/>
      <c r="B94" s="142"/>
      <c r="C94" s="142"/>
      <c r="D94" s="142"/>
      <c r="E94" s="142"/>
      <c r="F94" s="142"/>
      <c r="G94" s="142"/>
      <c r="H94" s="142"/>
      <c r="I94" s="141"/>
    </row>
    <row r="95" spans="1:9">
      <c r="A95" s="142"/>
      <c r="B95" s="142"/>
      <c r="C95" s="142"/>
      <c r="D95" s="142"/>
      <c r="E95" s="142"/>
      <c r="F95" s="142"/>
      <c r="G95" s="142"/>
      <c r="H95" s="142"/>
      <c r="I95" s="141"/>
    </row>
    <row r="96" spans="1:9">
      <c r="A96" s="142"/>
      <c r="B96" s="142"/>
      <c r="C96" s="142"/>
      <c r="D96" s="142"/>
      <c r="E96" s="142"/>
      <c r="F96" s="142"/>
      <c r="G96" s="142"/>
      <c r="H96" s="142"/>
      <c r="I96" s="141"/>
    </row>
    <row r="97" spans="1:9">
      <c r="A97" s="142"/>
      <c r="B97" s="142"/>
      <c r="C97" s="142"/>
      <c r="D97" s="142"/>
      <c r="E97" s="142"/>
      <c r="F97" s="142"/>
      <c r="G97" s="142"/>
      <c r="H97" s="142"/>
      <c r="I97" s="141"/>
    </row>
    <row r="98" spans="1:9">
      <c r="A98" s="142"/>
      <c r="B98" s="142"/>
      <c r="C98" s="142"/>
      <c r="D98" s="142"/>
      <c r="E98" s="142"/>
      <c r="F98" s="142"/>
      <c r="G98" s="142"/>
      <c r="H98" s="142"/>
      <c r="I98" s="141"/>
    </row>
    <row r="99" spans="1:9">
      <c r="A99" s="142"/>
      <c r="B99" s="142"/>
      <c r="C99" s="142"/>
      <c r="D99" s="142"/>
      <c r="E99" s="142"/>
      <c r="F99" s="142"/>
      <c r="G99" s="142"/>
      <c r="H99" s="142"/>
      <c r="I99" s="141"/>
    </row>
    <row r="100" spans="1:9">
      <c r="A100" s="142"/>
      <c r="B100" s="142"/>
      <c r="C100" s="142"/>
      <c r="D100" s="142"/>
      <c r="E100" s="142"/>
      <c r="F100" s="142"/>
      <c r="G100" s="142"/>
      <c r="H100" s="142"/>
      <c r="I100" s="141"/>
    </row>
    <row r="101" spans="1:9">
      <c r="A101" s="142"/>
      <c r="B101" s="142"/>
      <c r="C101" s="142"/>
      <c r="D101" s="142"/>
      <c r="E101" s="142"/>
      <c r="F101" s="142"/>
      <c r="G101" s="142"/>
      <c r="H101" s="142"/>
      <c r="I101" s="141"/>
    </row>
    <row r="102" spans="1:9">
      <c r="A102" s="142"/>
      <c r="B102" s="142"/>
      <c r="C102" s="142"/>
      <c r="D102" s="142"/>
      <c r="E102" s="142"/>
      <c r="F102" s="142"/>
      <c r="G102" s="142"/>
      <c r="H102" s="142"/>
      <c r="I102" s="141"/>
    </row>
    <row r="103" spans="1:9">
      <c r="A103" s="142"/>
      <c r="B103" s="142"/>
      <c r="C103" s="142"/>
      <c r="D103" s="142"/>
      <c r="E103" s="142"/>
      <c r="F103" s="142"/>
      <c r="G103" s="142"/>
      <c r="H103" s="142"/>
      <c r="I103" s="141"/>
    </row>
    <row r="104" spans="1:9">
      <c r="A104" s="142"/>
      <c r="B104" s="142"/>
      <c r="C104" s="142"/>
      <c r="D104" s="142"/>
      <c r="E104" s="142"/>
      <c r="F104" s="142"/>
      <c r="G104" s="142"/>
      <c r="H104" s="142"/>
      <c r="I104" s="141"/>
    </row>
    <row r="105" spans="1:9">
      <c r="A105" s="142"/>
      <c r="B105" s="142"/>
      <c r="C105" s="142"/>
      <c r="D105" s="142"/>
      <c r="E105" s="142"/>
      <c r="F105" s="142"/>
      <c r="G105" s="142"/>
      <c r="H105" s="142"/>
      <c r="I105" s="141"/>
    </row>
    <row r="106" spans="1:9">
      <c r="A106" s="142"/>
      <c r="B106" s="142"/>
      <c r="C106" s="142"/>
      <c r="D106" s="142"/>
      <c r="E106" s="142"/>
      <c r="F106" s="142"/>
      <c r="G106" s="142"/>
      <c r="H106" s="142"/>
      <c r="I106" s="141"/>
    </row>
    <row r="107" spans="1:9">
      <c r="A107" s="142"/>
      <c r="B107" s="142"/>
      <c r="C107" s="142"/>
      <c r="D107" s="142"/>
      <c r="E107" s="142"/>
      <c r="F107" s="142"/>
      <c r="G107" s="142"/>
      <c r="H107" s="142"/>
      <c r="I107" s="141"/>
    </row>
    <row r="108" spans="1:9">
      <c r="A108" s="142"/>
      <c r="B108" s="142"/>
      <c r="C108" s="142"/>
      <c r="D108" s="142"/>
      <c r="E108" s="142"/>
      <c r="F108" s="142"/>
      <c r="G108" s="142"/>
      <c r="H108" s="142"/>
      <c r="I108" s="141"/>
    </row>
    <row r="109" spans="1:9">
      <c r="A109" s="142"/>
      <c r="B109" s="142"/>
      <c r="C109" s="142"/>
      <c r="D109" s="142"/>
      <c r="E109" s="142"/>
      <c r="F109" s="142"/>
      <c r="G109" s="142"/>
      <c r="H109" s="142"/>
      <c r="I109" s="141"/>
    </row>
    <row r="110" spans="1:9">
      <c r="A110" s="142"/>
      <c r="B110" s="142"/>
      <c r="C110" s="142"/>
      <c r="D110" s="142"/>
      <c r="E110" s="142"/>
      <c r="F110" s="142"/>
      <c r="G110" s="142"/>
      <c r="H110" s="142"/>
      <c r="I110" s="141"/>
    </row>
    <row r="111" spans="1:9">
      <c r="A111" s="142"/>
      <c r="B111" s="142"/>
      <c r="C111" s="142"/>
      <c r="D111" s="142"/>
      <c r="E111" s="142"/>
      <c r="F111" s="142"/>
      <c r="G111" s="142"/>
      <c r="H111" s="142"/>
      <c r="I111" s="141"/>
    </row>
    <row r="112" spans="1:9">
      <c r="A112" s="142"/>
      <c r="B112" s="142"/>
      <c r="C112" s="142"/>
      <c r="D112" s="142"/>
      <c r="E112" s="142"/>
      <c r="F112" s="142"/>
      <c r="G112" s="142"/>
      <c r="H112" s="142"/>
      <c r="I112" s="141"/>
    </row>
    <row r="113" spans="1:9">
      <c r="A113" s="142"/>
      <c r="B113" s="142"/>
      <c r="C113" s="142"/>
      <c r="D113" s="142"/>
      <c r="E113" s="142"/>
      <c r="F113" s="142"/>
      <c r="G113" s="142"/>
      <c r="H113" s="142"/>
      <c r="I113" s="141"/>
    </row>
    <row r="114" spans="1:9">
      <c r="A114" s="142"/>
      <c r="B114" s="142"/>
      <c r="C114" s="142"/>
      <c r="D114" s="142"/>
      <c r="E114" s="142"/>
      <c r="F114" s="142"/>
      <c r="G114" s="142"/>
      <c r="H114" s="142"/>
      <c r="I114" s="141"/>
    </row>
    <row r="115" spans="1:9">
      <c r="A115" s="142"/>
      <c r="B115" s="142"/>
      <c r="C115" s="142"/>
      <c r="D115" s="142"/>
      <c r="E115" s="142"/>
      <c r="F115" s="142"/>
      <c r="G115" s="142"/>
      <c r="H115" s="142"/>
      <c r="I115" s="141"/>
    </row>
    <row r="116" spans="1:9">
      <c r="A116" s="142"/>
      <c r="B116" s="142"/>
      <c r="C116" s="142"/>
      <c r="D116" s="142"/>
      <c r="E116" s="142"/>
      <c r="F116" s="142"/>
      <c r="G116" s="142"/>
      <c r="H116" s="142"/>
      <c r="I116" s="141"/>
    </row>
    <row r="117" spans="1:9">
      <c r="A117" s="142"/>
      <c r="B117" s="142"/>
      <c r="C117" s="142"/>
      <c r="D117" s="142"/>
      <c r="E117" s="142"/>
      <c r="F117" s="142"/>
      <c r="G117" s="142"/>
      <c r="H117" s="142"/>
      <c r="I117" s="141"/>
    </row>
    <row r="118" spans="1:9">
      <c r="A118" s="142"/>
      <c r="B118" s="142"/>
      <c r="C118" s="142"/>
      <c r="D118" s="142"/>
      <c r="E118" s="142"/>
      <c r="F118" s="142"/>
      <c r="G118" s="142"/>
      <c r="H118" s="142"/>
      <c r="I118" s="141"/>
    </row>
    <row r="119" spans="1:9">
      <c r="A119" s="142"/>
      <c r="B119" s="142"/>
      <c r="C119" s="142"/>
      <c r="D119" s="142"/>
      <c r="E119" s="142"/>
      <c r="F119" s="142"/>
      <c r="G119" s="142"/>
      <c r="H119" s="142"/>
      <c r="I119" s="141"/>
    </row>
    <row r="120" spans="1:9">
      <c r="A120" s="142"/>
      <c r="B120" s="142"/>
      <c r="C120" s="142"/>
      <c r="D120" s="142"/>
      <c r="E120" s="142"/>
      <c r="F120" s="142"/>
      <c r="G120" s="142"/>
      <c r="H120" s="142"/>
      <c r="I120" s="141"/>
    </row>
    <row r="121" spans="1:9">
      <c r="A121" s="142"/>
      <c r="B121" s="142"/>
      <c r="C121" s="142"/>
      <c r="D121" s="142"/>
      <c r="E121" s="142"/>
      <c r="F121" s="142"/>
      <c r="G121" s="142"/>
      <c r="H121" s="142"/>
      <c r="I121" s="141"/>
    </row>
    <row r="122" spans="1:9">
      <c r="A122" s="142"/>
      <c r="B122" s="142"/>
      <c r="C122" s="142"/>
      <c r="D122" s="142"/>
      <c r="E122" s="142"/>
      <c r="F122" s="142"/>
      <c r="G122" s="142"/>
      <c r="H122" s="142"/>
      <c r="I122" s="141"/>
    </row>
    <row r="123" spans="1:9">
      <c r="A123" s="142"/>
      <c r="B123" s="142"/>
      <c r="C123" s="142"/>
      <c r="D123" s="142"/>
      <c r="E123" s="142"/>
      <c r="F123" s="142"/>
      <c r="G123" s="142"/>
      <c r="H123" s="142"/>
      <c r="I123" s="141"/>
    </row>
    <row r="124" spans="1:9">
      <c r="A124" s="142"/>
      <c r="B124" s="142"/>
      <c r="C124" s="142"/>
      <c r="D124" s="142"/>
      <c r="E124" s="142"/>
      <c r="F124" s="142"/>
      <c r="G124" s="142"/>
      <c r="H124" s="142"/>
      <c r="I124" s="141"/>
    </row>
    <row r="125" spans="1:9">
      <c r="A125" s="142"/>
      <c r="B125" s="142"/>
      <c r="C125" s="142"/>
      <c r="D125" s="142"/>
      <c r="E125" s="142"/>
      <c r="F125" s="142"/>
      <c r="G125" s="142"/>
      <c r="H125" s="142"/>
      <c r="I125" s="141"/>
    </row>
    <row r="126" spans="1:9">
      <c r="A126" s="142"/>
      <c r="B126" s="142"/>
      <c r="C126" s="142"/>
      <c r="D126" s="142"/>
      <c r="E126" s="142"/>
      <c r="F126" s="142"/>
      <c r="G126" s="142"/>
      <c r="H126" s="142"/>
      <c r="I126" s="141"/>
    </row>
    <row r="127" spans="1:9">
      <c r="A127" s="142"/>
      <c r="B127" s="142"/>
      <c r="C127" s="142"/>
      <c r="D127" s="142"/>
      <c r="E127" s="142"/>
      <c r="F127" s="142"/>
      <c r="G127" s="142"/>
      <c r="H127" s="142"/>
      <c r="I127" s="141"/>
    </row>
    <row r="128" spans="1:9">
      <c r="A128" s="142"/>
      <c r="B128" s="142"/>
      <c r="C128" s="142"/>
      <c r="D128" s="142"/>
      <c r="E128" s="142"/>
      <c r="F128" s="142"/>
      <c r="G128" s="142"/>
      <c r="H128" s="142"/>
      <c r="I128" s="141"/>
    </row>
    <row r="129" spans="1:9">
      <c r="A129" s="142"/>
      <c r="B129" s="142"/>
      <c r="C129" s="142"/>
      <c r="D129" s="142"/>
      <c r="E129" s="142"/>
      <c r="F129" s="142"/>
      <c r="G129" s="142"/>
      <c r="H129" s="142"/>
      <c r="I129" s="141"/>
    </row>
    <row r="130" spans="1:9">
      <c r="A130" s="142"/>
      <c r="B130" s="142"/>
      <c r="C130" s="142"/>
      <c r="D130" s="142"/>
      <c r="E130" s="142"/>
      <c r="F130" s="142"/>
      <c r="G130" s="142"/>
      <c r="H130" s="142"/>
      <c r="I130" s="141"/>
    </row>
    <row r="131" spans="1:9">
      <c r="A131" s="142"/>
      <c r="B131" s="142"/>
      <c r="C131" s="142"/>
      <c r="D131" s="142"/>
      <c r="E131" s="142"/>
      <c r="F131" s="142"/>
      <c r="G131" s="142"/>
      <c r="H131" s="142"/>
      <c r="I131" s="141"/>
    </row>
    <row r="132" spans="1:9">
      <c r="A132" s="142"/>
      <c r="B132" s="142"/>
      <c r="C132" s="142"/>
      <c r="D132" s="142"/>
      <c r="E132" s="142"/>
      <c r="F132" s="142"/>
      <c r="G132" s="142"/>
      <c r="H132" s="142"/>
      <c r="I132" s="141"/>
    </row>
    <row r="133" spans="1:9">
      <c r="A133" s="142"/>
      <c r="B133" s="142"/>
      <c r="C133" s="142"/>
      <c r="D133" s="142"/>
      <c r="E133" s="142"/>
      <c r="F133" s="142"/>
      <c r="G133" s="142"/>
      <c r="H133" s="142"/>
      <c r="I133" s="141"/>
    </row>
    <row r="134" spans="1:9">
      <c r="A134" s="142"/>
      <c r="B134" s="142"/>
      <c r="C134" s="142"/>
      <c r="D134" s="142"/>
      <c r="E134" s="142"/>
      <c r="F134" s="142"/>
      <c r="G134" s="142"/>
      <c r="H134" s="142"/>
      <c r="I134" s="141"/>
    </row>
    <row r="135" spans="1:9">
      <c r="A135" s="142"/>
      <c r="B135" s="142"/>
      <c r="C135" s="142"/>
      <c r="D135" s="142"/>
      <c r="E135" s="142"/>
      <c r="F135" s="142"/>
      <c r="G135" s="142"/>
      <c r="H135" s="142"/>
      <c r="I135" s="141"/>
    </row>
    <row r="136" spans="1:9">
      <c r="A136" s="142"/>
      <c r="B136" s="142"/>
      <c r="C136" s="142"/>
      <c r="D136" s="142"/>
      <c r="E136" s="142"/>
      <c r="F136" s="142"/>
      <c r="G136" s="142"/>
      <c r="H136" s="142"/>
      <c r="I136" s="141"/>
    </row>
    <row r="137" spans="1:9">
      <c r="A137" s="142"/>
      <c r="B137" s="142"/>
      <c r="C137" s="142"/>
      <c r="D137" s="142"/>
      <c r="E137" s="142"/>
      <c r="F137" s="142"/>
      <c r="G137" s="142"/>
      <c r="H137" s="142"/>
      <c r="I137" s="141"/>
    </row>
    <row r="138" spans="1:9">
      <c r="A138" s="142"/>
      <c r="B138" s="142"/>
      <c r="C138" s="142"/>
      <c r="D138" s="142"/>
      <c r="E138" s="142"/>
      <c r="F138" s="142"/>
      <c r="G138" s="142"/>
      <c r="H138" s="142"/>
      <c r="I138" s="141"/>
    </row>
    <row r="139" spans="1:9">
      <c r="A139" s="142"/>
      <c r="B139" s="142"/>
      <c r="C139" s="142"/>
      <c r="D139" s="142"/>
      <c r="E139" s="142"/>
      <c r="F139" s="142"/>
      <c r="G139" s="142"/>
      <c r="H139" s="142"/>
      <c r="I139" s="141"/>
    </row>
    <row r="140" spans="1:9">
      <c r="A140" s="142"/>
      <c r="B140" s="142"/>
      <c r="C140" s="142"/>
      <c r="D140" s="142"/>
      <c r="E140" s="142"/>
      <c r="F140" s="142"/>
      <c r="G140" s="142"/>
      <c r="H140" s="142"/>
      <c r="I140" s="141"/>
    </row>
    <row r="141" spans="1:9">
      <c r="A141" s="142"/>
      <c r="B141" s="142"/>
      <c r="C141" s="142"/>
      <c r="D141" s="142"/>
      <c r="E141" s="142"/>
      <c r="F141" s="142"/>
      <c r="G141" s="142"/>
      <c r="H141" s="142"/>
      <c r="I141" s="141"/>
    </row>
    <row r="142" spans="1:9">
      <c r="A142" s="142"/>
      <c r="B142" s="142"/>
      <c r="C142" s="142"/>
      <c r="D142" s="142"/>
      <c r="E142" s="142"/>
      <c r="F142" s="142"/>
      <c r="G142" s="142"/>
      <c r="H142" s="142"/>
      <c r="I142" s="141"/>
    </row>
    <row r="143" spans="1:9">
      <c r="A143" s="142"/>
      <c r="B143" s="142"/>
      <c r="C143" s="142"/>
      <c r="D143" s="142"/>
      <c r="E143" s="142"/>
      <c r="F143" s="142"/>
      <c r="G143" s="142"/>
      <c r="H143" s="142"/>
      <c r="I143" s="141"/>
    </row>
    <row r="144" spans="1:9">
      <c r="A144" s="142"/>
      <c r="B144" s="142"/>
      <c r="C144" s="142"/>
      <c r="D144" s="142"/>
      <c r="E144" s="142"/>
      <c r="F144" s="142"/>
      <c r="G144" s="142"/>
      <c r="H144" s="142"/>
      <c r="I144" s="141"/>
    </row>
    <row r="145" spans="1:9">
      <c r="A145" s="142"/>
      <c r="B145" s="142"/>
      <c r="C145" s="142"/>
      <c r="D145" s="142"/>
      <c r="E145" s="142"/>
      <c r="F145" s="142"/>
      <c r="G145" s="142"/>
      <c r="H145" s="142"/>
      <c r="I145" s="141"/>
    </row>
    <row r="146" spans="1:9">
      <c r="A146" s="142"/>
      <c r="B146" s="142"/>
      <c r="C146" s="142"/>
      <c r="D146" s="142"/>
      <c r="E146" s="142"/>
      <c r="F146" s="142"/>
      <c r="G146" s="142"/>
      <c r="H146" s="142"/>
      <c r="I146" s="141"/>
    </row>
    <row r="147" spans="1:9">
      <c r="A147" s="142"/>
      <c r="B147" s="142"/>
      <c r="C147" s="142"/>
      <c r="D147" s="142"/>
      <c r="E147" s="142"/>
      <c r="F147" s="142"/>
      <c r="G147" s="142"/>
      <c r="H147" s="142"/>
      <c r="I147" s="141"/>
    </row>
    <row r="148" spans="1:9">
      <c r="A148" s="142"/>
      <c r="B148" s="142"/>
      <c r="C148" s="142"/>
      <c r="D148" s="142"/>
      <c r="E148" s="142"/>
      <c r="F148" s="142"/>
      <c r="G148" s="142"/>
      <c r="H148" s="142"/>
      <c r="I148" s="141"/>
    </row>
    <row r="149" spans="1:9">
      <c r="A149" s="142"/>
      <c r="B149" s="142"/>
      <c r="C149" s="142"/>
      <c r="D149" s="142"/>
      <c r="E149" s="142"/>
      <c r="F149" s="142"/>
      <c r="G149" s="142"/>
      <c r="H149" s="142"/>
      <c r="I149" s="141"/>
    </row>
    <row r="150" spans="1:9">
      <c r="A150" s="142"/>
      <c r="B150" s="142"/>
      <c r="C150" s="142"/>
      <c r="D150" s="142"/>
      <c r="E150" s="142"/>
      <c r="F150" s="142"/>
      <c r="G150" s="142"/>
      <c r="H150" s="142"/>
      <c r="I150" s="141"/>
    </row>
    <row r="151" spans="1:9">
      <c r="A151" s="142"/>
      <c r="B151" s="142"/>
      <c r="C151" s="142"/>
      <c r="D151" s="142"/>
      <c r="E151" s="142"/>
      <c r="F151" s="142"/>
      <c r="G151" s="142"/>
      <c r="H151" s="142"/>
      <c r="I151" s="141"/>
    </row>
    <row r="152" spans="1:9">
      <c r="A152" s="142"/>
      <c r="B152" s="142"/>
      <c r="C152" s="142"/>
      <c r="D152" s="142"/>
      <c r="E152" s="142"/>
      <c r="F152" s="142"/>
      <c r="G152" s="142"/>
      <c r="H152" s="142"/>
      <c r="I152" s="141"/>
    </row>
    <row r="153" spans="1:9">
      <c r="A153" s="142"/>
      <c r="B153" s="142"/>
      <c r="C153" s="142"/>
      <c r="D153" s="142"/>
      <c r="E153" s="142"/>
      <c r="F153" s="142"/>
      <c r="G153" s="142"/>
      <c r="H153" s="142"/>
      <c r="I153" s="141"/>
    </row>
    <row r="154" spans="1:9">
      <c r="A154" s="142"/>
      <c r="B154" s="142"/>
      <c r="C154" s="142"/>
      <c r="D154" s="142"/>
      <c r="E154" s="142"/>
      <c r="F154" s="142"/>
      <c r="G154" s="142"/>
      <c r="H154" s="142"/>
      <c r="I154" s="141"/>
    </row>
    <row r="155" spans="1:9">
      <c r="A155" s="142"/>
      <c r="B155" s="142"/>
      <c r="C155" s="142"/>
      <c r="D155" s="142"/>
      <c r="E155" s="142"/>
      <c r="F155" s="142"/>
      <c r="G155" s="142"/>
      <c r="H155" s="142"/>
      <c r="I155" s="141"/>
    </row>
    <row r="156" spans="1:9">
      <c r="A156" s="142"/>
      <c r="B156" s="142"/>
      <c r="C156" s="142"/>
      <c r="D156" s="142"/>
      <c r="E156" s="142"/>
      <c r="F156" s="142"/>
      <c r="G156" s="142"/>
      <c r="H156" s="142"/>
      <c r="I156" s="141"/>
    </row>
    <row r="157" spans="1:9">
      <c r="A157" s="142"/>
      <c r="B157" s="142"/>
      <c r="C157" s="142"/>
      <c r="D157" s="142"/>
      <c r="E157" s="142"/>
      <c r="F157" s="142"/>
      <c r="G157" s="142"/>
      <c r="H157" s="142"/>
      <c r="I157" s="141"/>
    </row>
    <row r="158" spans="1:9">
      <c r="A158" s="142"/>
      <c r="B158" s="142"/>
      <c r="C158" s="142"/>
      <c r="D158" s="142"/>
      <c r="E158" s="142"/>
      <c r="F158" s="142"/>
      <c r="G158" s="142"/>
      <c r="H158" s="142"/>
      <c r="I158" s="141"/>
    </row>
    <row r="159" spans="1:9">
      <c r="A159" s="142"/>
      <c r="B159" s="142"/>
      <c r="C159" s="142"/>
      <c r="D159" s="142"/>
      <c r="E159" s="142"/>
      <c r="F159" s="142"/>
      <c r="G159" s="142"/>
      <c r="H159" s="142"/>
      <c r="I159" s="141"/>
    </row>
    <row r="160" spans="1:9">
      <c r="A160" s="142"/>
      <c r="B160" s="142"/>
      <c r="C160" s="142"/>
      <c r="D160" s="142"/>
      <c r="E160" s="142"/>
      <c r="F160" s="142"/>
      <c r="G160" s="142"/>
      <c r="H160" s="142"/>
      <c r="I160" s="141"/>
    </row>
    <row r="161" spans="1:9">
      <c r="A161" s="142"/>
      <c r="B161" s="142"/>
      <c r="C161" s="142"/>
      <c r="D161" s="142"/>
      <c r="E161" s="142"/>
      <c r="F161" s="142"/>
      <c r="G161" s="142"/>
      <c r="H161" s="142"/>
      <c r="I161" s="141"/>
    </row>
    <row r="162" spans="1:9">
      <c r="A162" s="142"/>
      <c r="B162" s="142"/>
      <c r="C162" s="142"/>
      <c r="D162" s="142"/>
      <c r="E162" s="142"/>
      <c r="F162" s="142"/>
      <c r="G162" s="142"/>
      <c r="H162" s="142"/>
      <c r="I162" s="141"/>
    </row>
    <row r="163" spans="1:9">
      <c r="A163" s="142"/>
      <c r="B163" s="142"/>
      <c r="C163" s="142"/>
      <c r="D163" s="142"/>
      <c r="E163" s="142"/>
      <c r="F163" s="142"/>
      <c r="G163" s="142"/>
      <c r="H163" s="142"/>
      <c r="I163" s="141"/>
    </row>
    <row r="164" spans="1:9">
      <c r="A164" s="142"/>
      <c r="B164" s="142"/>
      <c r="C164" s="142"/>
      <c r="D164" s="142"/>
      <c r="E164" s="142"/>
      <c r="F164" s="142"/>
      <c r="G164" s="142"/>
      <c r="H164" s="142"/>
      <c r="I164" s="141"/>
    </row>
    <row r="165" spans="1:9">
      <c r="A165" s="142"/>
      <c r="B165" s="142"/>
      <c r="C165" s="142"/>
      <c r="D165" s="142"/>
      <c r="E165" s="142"/>
      <c r="F165" s="142"/>
      <c r="G165" s="142"/>
      <c r="H165" s="142"/>
      <c r="I165" s="141"/>
    </row>
    <row r="166" spans="1:9">
      <c r="A166" s="142"/>
      <c r="B166" s="142"/>
      <c r="C166" s="142"/>
      <c r="D166" s="142"/>
      <c r="E166" s="142"/>
      <c r="F166" s="142"/>
      <c r="G166" s="142"/>
      <c r="H166" s="142"/>
      <c r="I166" s="141"/>
    </row>
    <row r="167" spans="1:9">
      <c r="A167" s="142"/>
      <c r="B167" s="142"/>
      <c r="C167" s="142"/>
      <c r="D167" s="142"/>
      <c r="E167" s="142"/>
      <c r="F167" s="142"/>
      <c r="G167" s="142"/>
      <c r="H167" s="142"/>
      <c r="I167" s="141"/>
    </row>
    <row r="168" spans="1:9">
      <c r="A168" s="142"/>
      <c r="B168" s="142"/>
      <c r="C168" s="142"/>
      <c r="D168" s="142"/>
      <c r="E168" s="142"/>
      <c r="F168" s="142"/>
      <c r="G168" s="142"/>
      <c r="H168" s="142"/>
      <c r="I168" s="141"/>
    </row>
    <row r="169" spans="1:9">
      <c r="A169" s="142"/>
      <c r="B169" s="142"/>
      <c r="C169" s="142"/>
      <c r="D169" s="142"/>
      <c r="E169" s="142"/>
      <c r="F169" s="142"/>
      <c r="G169" s="142"/>
      <c r="H169" s="142"/>
      <c r="I169" s="141"/>
    </row>
    <row r="170" spans="1:9">
      <c r="A170" s="142"/>
      <c r="B170" s="142"/>
      <c r="C170" s="142"/>
      <c r="D170" s="142"/>
      <c r="E170" s="142"/>
      <c r="F170" s="142"/>
      <c r="G170" s="142"/>
      <c r="H170" s="142"/>
      <c r="I170" s="141"/>
    </row>
    <row r="171" spans="1:9">
      <c r="A171" s="142"/>
      <c r="B171" s="142"/>
      <c r="C171" s="142"/>
      <c r="D171" s="142"/>
      <c r="E171" s="142"/>
      <c r="F171" s="142"/>
      <c r="G171" s="142"/>
      <c r="H171" s="142"/>
      <c r="I171" s="141"/>
    </row>
    <row r="172" spans="1:9">
      <c r="A172" s="142"/>
      <c r="B172" s="142"/>
      <c r="C172" s="142"/>
      <c r="D172" s="142"/>
      <c r="E172" s="142"/>
      <c r="F172" s="142"/>
      <c r="G172" s="142"/>
      <c r="H172" s="142"/>
      <c r="I172" s="141"/>
    </row>
    <row r="173" spans="1:9">
      <c r="A173" s="142"/>
      <c r="B173" s="142"/>
      <c r="C173" s="142"/>
      <c r="D173" s="142"/>
      <c r="E173" s="142"/>
      <c r="F173" s="142"/>
      <c r="G173" s="142"/>
      <c r="H173" s="142"/>
      <c r="I173" s="141"/>
    </row>
    <row r="174" spans="1:9">
      <c r="A174" s="142"/>
      <c r="B174" s="142"/>
      <c r="C174" s="142"/>
      <c r="D174" s="142"/>
      <c r="E174" s="142"/>
      <c r="F174" s="142"/>
      <c r="G174" s="142"/>
      <c r="H174" s="142"/>
      <c r="I174" s="141"/>
    </row>
    <row r="175" spans="1:9">
      <c r="A175" s="142"/>
      <c r="B175" s="142"/>
      <c r="C175" s="142"/>
      <c r="D175" s="142"/>
      <c r="E175" s="142"/>
      <c r="F175" s="142"/>
      <c r="G175" s="142"/>
      <c r="H175" s="142"/>
      <c r="I175" s="141"/>
    </row>
    <row r="176" spans="1:9">
      <c r="A176" s="142"/>
      <c r="B176" s="142"/>
      <c r="C176" s="142"/>
      <c r="D176" s="142"/>
      <c r="E176" s="142"/>
      <c r="F176" s="142"/>
      <c r="G176" s="142"/>
      <c r="H176" s="142"/>
      <c r="I176" s="141"/>
    </row>
    <row r="177" spans="1:9">
      <c r="A177" s="142"/>
      <c r="B177" s="142"/>
      <c r="C177" s="142"/>
      <c r="D177" s="142"/>
      <c r="E177" s="142"/>
      <c r="F177" s="142"/>
      <c r="G177" s="142"/>
      <c r="H177" s="142"/>
      <c r="I177" s="141"/>
    </row>
    <row r="178" spans="1:9">
      <c r="A178" s="142"/>
      <c r="B178" s="142"/>
      <c r="C178" s="142"/>
      <c r="D178" s="142"/>
      <c r="E178" s="142"/>
      <c r="F178" s="142"/>
      <c r="G178" s="142"/>
      <c r="H178" s="142"/>
      <c r="I178" s="141"/>
    </row>
    <row r="179" spans="1:9">
      <c r="A179" s="142"/>
      <c r="B179" s="142"/>
      <c r="C179" s="142"/>
      <c r="D179" s="142"/>
      <c r="E179" s="142"/>
      <c r="F179" s="142"/>
      <c r="G179" s="142"/>
      <c r="H179" s="142"/>
      <c r="I179" s="141"/>
    </row>
    <row r="180" spans="1:9">
      <c r="A180" s="142"/>
      <c r="B180" s="142"/>
      <c r="C180" s="142"/>
      <c r="D180" s="142"/>
      <c r="E180" s="142"/>
      <c r="F180" s="142"/>
      <c r="G180" s="142"/>
      <c r="H180" s="142"/>
      <c r="I180" s="141"/>
    </row>
    <row r="181" spans="1:9">
      <c r="A181" s="142"/>
      <c r="B181" s="142"/>
      <c r="C181" s="142"/>
      <c r="D181" s="142"/>
      <c r="E181" s="142"/>
      <c r="F181" s="142"/>
      <c r="G181" s="142"/>
      <c r="H181" s="142"/>
      <c r="I181" s="141"/>
    </row>
    <row r="182" spans="1:9">
      <c r="A182" s="142"/>
      <c r="B182" s="142"/>
      <c r="C182" s="142"/>
      <c r="D182" s="142"/>
      <c r="E182" s="142"/>
      <c r="F182" s="142"/>
      <c r="G182" s="142"/>
      <c r="H182" s="142"/>
      <c r="I182" s="141"/>
    </row>
    <row r="183" spans="1:9">
      <c r="A183" s="142"/>
      <c r="B183" s="142"/>
      <c r="C183" s="142"/>
      <c r="D183" s="142"/>
      <c r="E183" s="142"/>
      <c r="F183" s="142"/>
      <c r="G183" s="142"/>
      <c r="H183" s="142"/>
      <c r="I183" s="141"/>
    </row>
    <row r="184" spans="1:9">
      <c r="A184" s="142"/>
      <c r="B184" s="142"/>
      <c r="C184" s="142"/>
      <c r="D184" s="142"/>
      <c r="E184" s="142"/>
      <c r="F184" s="142"/>
      <c r="G184" s="142"/>
      <c r="H184" s="142"/>
      <c r="I184" s="141"/>
    </row>
    <row r="185" spans="1:9">
      <c r="A185" s="142"/>
      <c r="B185" s="142"/>
      <c r="C185" s="142"/>
      <c r="D185" s="142"/>
      <c r="E185" s="142"/>
      <c r="F185" s="142"/>
      <c r="G185" s="142"/>
      <c r="H185" s="142"/>
      <c r="I185" s="141"/>
    </row>
    <row r="186" spans="1:9">
      <c r="A186" s="142"/>
      <c r="B186" s="142"/>
      <c r="C186" s="142"/>
      <c r="D186" s="142"/>
      <c r="E186" s="142"/>
      <c r="F186" s="142"/>
      <c r="G186" s="142"/>
      <c r="H186" s="142"/>
      <c r="I186" s="141"/>
    </row>
    <row r="187" spans="1:9">
      <c r="A187" s="142"/>
      <c r="B187" s="142"/>
      <c r="C187" s="142"/>
      <c r="D187" s="142"/>
      <c r="E187" s="142"/>
      <c r="F187" s="142"/>
      <c r="G187" s="142"/>
      <c r="H187" s="142"/>
      <c r="I187" s="141"/>
    </row>
    <row r="188" spans="1:9">
      <c r="A188" s="142"/>
      <c r="B188" s="142"/>
      <c r="C188" s="142"/>
      <c r="D188" s="142"/>
      <c r="E188" s="142"/>
      <c r="F188" s="142"/>
      <c r="G188" s="142"/>
      <c r="H188" s="142"/>
      <c r="I188" s="141"/>
    </row>
    <row r="189" spans="1:9">
      <c r="A189" s="142"/>
      <c r="B189" s="142"/>
      <c r="C189" s="142"/>
      <c r="D189" s="142"/>
      <c r="E189" s="142"/>
      <c r="F189" s="142"/>
      <c r="G189" s="142"/>
      <c r="H189" s="142"/>
      <c r="I189" s="141"/>
    </row>
    <row r="190" spans="1:9">
      <c r="A190" s="142"/>
      <c r="B190" s="142"/>
      <c r="C190" s="142"/>
      <c r="D190" s="142"/>
      <c r="E190" s="142"/>
      <c r="F190" s="142"/>
      <c r="G190" s="142"/>
      <c r="H190" s="142"/>
      <c r="I190" s="141"/>
    </row>
    <row r="191" spans="1:9">
      <c r="A191" s="142"/>
      <c r="B191" s="142"/>
      <c r="C191" s="142"/>
      <c r="D191" s="142"/>
      <c r="E191" s="142"/>
      <c r="F191" s="142"/>
      <c r="G191" s="142"/>
      <c r="H191" s="142"/>
      <c r="I191" s="141"/>
    </row>
    <row r="192" spans="1:9">
      <c r="A192" s="142"/>
      <c r="B192" s="142"/>
      <c r="C192" s="142"/>
      <c r="D192" s="142"/>
      <c r="E192" s="142"/>
      <c r="F192" s="142"/>
      <c r="G192" s="142"/>
      <c r="H192" s="142"/>
      <c r="I192" s="141"/>
    </row>
    <row r="193" spans="1:9">
      <c r="A193" s="142"/>
      <c r="B193" s="142"/>
      <c r="C193" s="142"/>
      <c r="D193" s="142"/>
      <c r="E193" s="142"/>
      <c r="F193" s="142"/>
      <c r="G193" s="142"/>
      <c r="H193" s="142"/>
      <c r="I193" s="141"/>
    </row>
    <row r="194" spans="1:9">
      <c r="A194" s="142"/>
      <c r="B194" s="142"/>
      <c r="C194" s="142"/>
      <c r="D194" s="142"/>
      <c r="E194" s="142"/>
      <c r="F194" s="142"/>
      <c r="G194" s="142"/>
      <c r="H194" s="142"/>
      <c r="I194" s="141"/>
    </row>
    <row r="195" spans="1:9">
      <c r="A195" s="142"/>
      <c r="B195" s="142"/>
      <c r="C195" s="142"/>
      <c r="D195" s="142"/>
      <c r="E195" s="142"/>
      <c r="F195" s="142"/>
      <c r="G195" s="142"/>
      <c r="H195" s="142"/>
      <c r="I195" s="141"/>
    </row>
    <row r="196" spans="1:9">
      <c r="A196" s="142"/>
      <c r="B196" s="142"/>
      <c r="C196" s="142"/>
      <c r="D196" s="142"/>
      <c r="E196" s="142"/>
      <c r="F196" s="142"/>
      <c r="G196" s="142"/>
      <c r="H196" s="142"/>
      <c r="I196" s="141"/>
    </row>
    <row r="197" spans="1:9">
      <c r="A197" s="142"/>
      <c r="B197" s="142"/>
      <c r="C197" s="142"/>
      <c r="D197" s="142"/>
      <c r="E197" s="142"/>
      <c r="F197" s="142"/>
      <c r="G197" s="142"/>
      <c r="H197" s="142"/>
      <c r="I197" s="141"/>
    </row>
    <row r="198" spans="1:9">
      <c r="A198" s="142"/>
      <c r="B198" s="142"/>
      <c r="C198" s="142"/>
      <c r="D198" s="142"/>
      <c r="E198" s="142"/>
      <c r="F198" s="142"/>
      <c r="G198" s="142"/>
      <c r="H198" s="142"/>
      <c r="I198" s="141"/>
    </row>
    <row r="199" spans="1:9">
      <c r="A199" s="142"/>
      <c r="B199" s="142"/>
      <c r="C199" s="142"/>
      <c r="D199" s="142"/>
      <c r="E199" s="142"/>
      <c r="F199" s="142"/>
      <c r="G199" s="142"/>
      <c r="H199" s="142"/>
      <c r="I199" s="141"/>
    </row>
    <row r="200" spans="1:9">
      <c r="A200" s="142"/>
      <c r="B200" s="142"/>
      <c r="C200" s="142"/>
      <c r="D200" s="142"/>
      <c r="E200" s="142"/>
      <c r="F200" s="142"/>
      <c r="G200" s="142"/>
      <c r="H200" s="142"/>
      <c r="I200" s="141"/>
    </row>
    <row r="201" spans="1:9">
      <c r="A201" s="142"/>
      <c r="B201" s="142"/>
      <c r="C201" s="142"/>
      <c r="D201" s="142"/>
      <c r="E201" s="142"/>
      <c r="F201" s="142"/>
      <c r="G201" s="142"/>
      <c r="H201" s="142"/>
      <c r="I201" s="141"/>
    </row>
    <row r="202" spans="1:9">
      <c r="A202" s="142"/>
      <c r="B202" s="142"/>
      <c r="C202" s="142"/>
      <c r="D202" s="142"/>
      <c r="E202" s="142"/>
      <c r="F202" s="142"/>
      <c r="G202" s="142"/>
      <c r="H202" s="142"/>
      <c r="I202" s="141"/>
    </row>
    <row r="203" spans="1:9">
      <c r="A203" s="142"/>
      <c r="B203" s="142"/>
      <c r="C203" s="142"/>
      <c r="D203" s="142"/>
      <c r="E203" s="142"/>
      <c r="F203" s="142"/>
      <c r="G203" s="142"/>
      <c r="H203" s="142"/>
      <c r="I203" s="141"/>
    </row>
    <row r="204" spans="1:9">
      <c r="A204" s="142"/>
      <c r="B204" s="142"/>
      <c r="C204" s="142"/>
      <c r="D204" s="142"/>
      <c r="E204" s="142"/>
      <c r="F204" s="142"/>
      <c r="G204" s="142"/>
      <c r="H204" s="142"/>
      <c r="I204" s="141"/>
    </row>
    <row r="205" spans="1:9">
      <c r="A205" s="142"/>
      <c r="B205" s="142"/>
      <c r="C205" s="142"/>
      <c r="D205" s="142"/>
      <c r="E205" s="142"/>
      <c r="F205" s="142"/>
      <c r="G205" s="142"/>
      <c r="H205" s="142"/>
      <c r="I205" s="141"/>
    </row>
    <row r="206" spans="1:9">
      <c r="A206" s="142"/>
      <c r="B206" s="142"/>
      <c r="C206" s="142"/>
      <c r="D206" s="142"/>
      <c r="E206" s="142"/>
      <c r="F206" s="142"/>
      <c r="G206" s="142"/>
      <c r="H206" s="142"/>
      <c r="I206" s="141"/>
    </row>
    <row r="207" spans="1:9">
      <c r="A207" s="142"/>
      <c r="B207" s="142"/>
      <c r="C207" s="142"/>
      <c r="D207" s="142"/>
      <c r="E207" s="142"/>
      <c r="F207" s="142"/>
      <c r="G207" s="142"/>
      <c r="H207" s="142"/>
      <c r="I207" s="141"/>
    </row>
    <row r="208" spans="1:9">
      <c r="A208" s="142"/>
      <c r="B208" s="142"/>
      <c r="C208" s="142"/>
      <c r="D208" s="142"/>
      <c r="E208" s="142"/>
      <c r="F208" s="142"/>
      <c r="G208" s="142"/>
      <c r="H208" s="142"/>
      <c r="I208" s="141"/>
    </row>
    <row r="209" spans="1:9">
      <c r="A209" s="142"/>
      <c r="B209" s="142"/>
      <c r="C209" s="142"/>
      <c r="D209" s="142"/>
      <c r="E209" s="142"/>
      <c r="F209" s="142"/>
      <c r="G209" s="142"/>
      <c r="H209" s="142"/>
      <c r="I209" s="141"/>
    </row>
    <row r="210" spans="1:9">
      <c r="A210" s="142"/>
      <c r="B210" s="142"/>
      <c r="C210" s="142"/>
      <c r="D210" s="142"/>
      <c r="E210" s="142"/>
      <c r="F210" s="142"/>
      <c r="G210" s="142"/>
      <c r="H210" s="142"/>
      <c r="I210" s="141"/>
    </row>
    <row r="211" spans="1:9">
      <c r="A211" s="142"/>
      <c r="B211" s="142"/>
      <c r="C211" s="142"/>
      <c r="D211" s="142"/>
      <c r="E211" s="142"/>
      <c r="F211" s="142"/>
      <c r="G211" s="142"/>
      <c r="H211" s="142"/>
      <c r="I211" s="141"/>
    </row>
    <row r="212" spans="1:9">
      <c r="A212" s="142"/>
      <c r="B212" s="142"/>
      <c r="C212" s="142"/>
      <c r="D212" s="142"/>
      <c r="E212" s="142"/>
      <c r="F212" s="142"/>
      <c r="G212" s="142"/>
      <c r="H212" s="142"/>
      <c r="I212" s="141"/>
    </row>
    <row r="213" spans="1:9">
      <c r="A213" s="142"/>
      <c r="B213" s="142"/>
      <c r="C213" s="142"/>
      <c r="D213" s="142"/>
      <c r="E213" s="142"/>
      <c r="F213" s="142"/>
      <c r="G213" s="142"/>
      <c r="H213" s="142"/>
      <c r="I213" s="141"/>
    </row>
    <row r="214" spans="1:9">
      <c r="A214" s="142"/>
      <c r="B214" s="142"/>
      <c r="C214" s="142"/>
      <c r="D214" s="142"/>
      <c r="E214" s="142"/>
      <c r="F214" s="142"/>
      <c r="G214" s="142"/>
      <c r="H214" s="142"/>
      <c r="I214" s="141"/>
    </row>
    <row r="215" spans="1:9">
      <c r="A215" s="142"/>
      <c r="B215" s="142"/>
      <c r="C215" s="142"/>
      <c r="D215" s="142"/>
      <c r="E215" s="142"/>
      <c r="F215" s="142"/>
      <c r="G215" s="142"/>
      <c r="H215" s="142"/>
      <c r="I215" s="141"/>
    </row>
    <row r="216" spans="1:9">
      <c r="A216" s="142"/>
      <c r="B216" s="142"/>
      <c r="C216" s="142"/>
      <c r="D216" s="142"/>
      <c r="E216" s="142"/>
      <c r="F216" s="142"/>
      <c r="G216" s="142"/>
      <c r="H216" s="142"/>
      <c r="I216" s="141"/>
    </row>
    <row r="217" spans="1:9">
      <c r="A217" s="142"/>
      <c r="B217" s="142"/>
      <c r="C217" s="142"/>
      <c r="D217" s="142"/>
      <c r="E217" s="142"/>
      <c r="F217" s="142"/>
      <c r="G217" s="142"/>
      <c r="H217" s="142"/>
      <c r="I217" s="141"/>
    </row>
    <row r="218" spans="1:9">
      <c r="A218" s="142"/>
      <c r="B218" s="142"/>
      <c r="C218" s="142"/>
      <c r="D218" s="142"/>
      <c r="E218" s="142"/>
      <c r="F218" s="142"/>
      <c r="G218" s="142"/>
      <c r="H218" s="142"/>
      <c r="I218" s="141"/>
    </row>
    <row r="219" spans="1:9">
      <c r="A219" s="142"/>
      <c r="B219" s="142"/>
      <c r="C219" s="142"/>
      <c r="D219" s="142"/>
      <c r="E219" s="142"/>
      <c r="F219" s="142"/>
      <c r="G219" s="142"/>
      <c r="H219" s="142"/>
      <c r="I219" s="141"/>
    </row>
    <row r="220" spans="1:9">
      <c r="A220" s="142"/>
      <c r="B220" s="142"/>
      <c r="C220" s="142"/>
      <c r="D220" s="142"/>
      <c r="E220" s="142"/>
      <c r="F220" s="142"/>
      <c r="G220" s="142"/>
      <c r="H220" s="142"/>
      <c r="I220" s="141"/>
    </row>
    <row r="221" spans="1:9">
      <c r="A221" s="142"/>
      <c r="B221" s="142"/>
      <c r="C221" s="142"/>
      <c r="D221" s="142"/>
      <c r="E221" s="142"/>
      <c r="F221" s="142"/>
      <c r="G221" s="142"/>
      <c r="H221" s="142"/>
      <c r="I221" s="141"/>
    </row>
    <row r="222" spans="1:9">
      <c r="A222" s="142"/>
      <c r="B222" s="142"/>
      <c r="C222" s="142"/>
      <c r="D222" s="142"/>
      <c r="E222" s="142"/>
      <c r="F222" s="142"/>
      <c r="G222" s="142"/>
      <c r="H222" s="142"/>
      <c r="I222" s="141"/>
    </row>
    <row r="223" spans="1:9">
      <c r="A223" s="142"/>
      <c r="B223" s="142"/>
      <c r="C223" s="142"/>
      <c r="D223" s="142"/>
      <c r="E223" s="142"/>
      <c r="F223" s="142"/>
      <c r="G223" s="142"/>
      <c r="H223" s="142"/>
      <c r="I223" s="141"/>
    </row>
    <row r="224" spans="1:9">
      <c r="A224" s="142"/>
      <c r="B224" s="142"/>
      <c r="C224" s="142"/>
      <c r="D224" s="142"/>
      <c r="E224" s="142"/>
      <c r="F224" s="142"/>
      <c r="G224" s="142"/>
      <c r="H224" s="142"/>
      <c r="I224" s="141"/>
    </row>
    <row r="225" spans="1:9">
      <c r="A225" s="142"/>
      <c r="B225" s="142"/>
      <c r="C225" s="142"/>
      <c r="D225" s="142"/>
      <c r="E225" s="142"/>
      <c r="F225" s="142"/>
      <c r="G225" s="142"/>
      <c r="H225" s="142"/>
      <c r="I225" s="141"/>
    </row>
    <row r="226" spans="1:9">
      <c r="A226" s="142"/>
      <c r="B226" s="142"/>
      <c r="C226" s="142"/>
      <c r="D226" s="142"/>
      <c r="E226" s="142"/>
      <c r="F226" s="142"/>
      <c r="G226" s="142"/>
      <c r="H226" s="142"/>
      <c r="I226" s="141"/>
    </row>
    <row r="227" spans="1:9">
      <c r="A227" s="142"/>
      <c r="B227" s="142"/>
      <c r="C227" s="142"/>
      <c r="D227" s="142"/>
      <c r="E227" s="142"/>
      <c r="F227" s="142"/>
      <c r="G227" s="142"/>
      <c r="H227" s="142"/>
      <c r="I227" s="141"/>
    </row>
    <row r="228" spans="1:9">
      <c r="A228" s="142"/>
      <c r="B228" s="142"/>
      <c r="C228" s="142"/>
      <c r="D228" s="142"/>
      <c r="E228" s="142"/>
      <c r="F228" s="142"/>
      <c r="G228" s="142"/>
      <c r="H228" s="142"/>
      <c r="I228" s="141"/>
    </row>
    <row r="229" spans="1:9">
      <c r="A229" s="142"/>
      <c r="B229" s="142"/>
      <c r="C229" s="142"/>
      <c r="D229" s="142"/>
      <c r="E229" s="142"/>
      <c r="F229" s="142"/>
      <c r="G229" s="142"/>
      <c r="H229" s="142"/>
      <c r="I229" s="141"/>
    </row>
    <row r="230" spans="1:9">
      <c r="A230" s="142"/>
      <c r="B230" s="142"/>
      <c r="C230" s="142"/>
      <c r="D230" s="142"/>
      <c r="E230" s="142"/>
      <c r="F230" s="142"/>
      <c r="G230" s="142"/>
      <c r="H230" s="142"/>
      <c r="I230" s="141"/>
    </row>
    <row r="231" spans="1:9">
      <c r="A231" s="142"/>
      <c r="B231" s="142"/>
      <c r="C231" s="142"/>
      <c r="D231" s="142"/>
      <c r="E231" s="142"/>
      <c r="F231" s="142"/>
      <c r="G231" s="142"/>
      <c r="H231" s="142"/>
      <c r="I231" s="141"/>
    </row>
    <row r="232" spans="1:9">
      <c r="A232" s="142"/>
      <c r="B232" s="142"/>
      <c r="C232" s="142"/>
      <c r="D232" s="142"/>
      <c r="E232" s="142"/>
      <c r="F232" s="142"/>
      <c r="G232" s="142"/>
      <c r="H232" s="142"/>
      <c r="I232" s="141"/>
    </row>
    <row r="233" spans="1:9">
      <c r="A233" s="142"/>
      <c r="B233" s="142"/>
      <c r="C233" s="142"/>
      <c r="D233" s="142"/>
      <c r="E233" s="142"/>
      <c r="F233" s="142"/>
      <c r="G233" s="142"/>
      <c r="H233" s="142"/>
      <c r="I233" s="141"/>
    </row>
    <row r="234" spans="1:9">
      <c r="A234" s="142"/>
      <c r="B234" s="142"/>
      <c r="C234" s="142"/>
      <c r="D234" s="142"/>
      <c r="E234" s="142"/>
      <c r="F234" s="142"/>
      <c r="G234" s="142"/>
      <c r="H234" s="142"/>
      <c r="I234" s="141"/>
    </row>
    <row r="235" spans="1:9">
      <c r="A235" s="142"/>
      <c r="B235" s="142"/>
      <c r="C235" s="142"/>
      <c r="D235" s="142"/>
      <c r="E235" s="142"/>
      <c r="F235" s="142"/>
      <c r="G235" s="142"/>
      <c r="H235" s="142"/>
      <c r="I235" s="141"/>
    </row>
    <row r="236" spans="1:9">
      <c r="A236" s="142"/>
      <c r="B236" s="142"/>
      <c r="C236" s="142"/>
      <c r="D236" s="142"/>
      <c r="E236" s="142"/>
      <c r="F236" s="142"/>
      <c r="G236" s="142"/>
      <c r="H236" s="142"/>
      <c r="I236" s="141"/>
    </row>
    <row r="237" spans="1:9">
      <c r="A237" s="142"/>
      <c r="B237" s="142"/>
      <c r="C237" s="142"/>
      <c r="D237" s="142"/>
      <c r="E237" s="142"/>
      <c r="F237" s="142"/>
      <c r="G237" s="142"/>
      <c r="H237" s="142"/>
      <c r="I237" s="141"/>
    </row>
    <row r="238" spans="1:9">
      <c r="A238" s="142"/>
      <c r="B238" s="142"/>
      <c r="C238" s="142"/>
      <c r="D238" s="142"/>
      <c r="E238" s="142"/>
      <c r="F238" s="142"/>
      <c r="G238" s="142"/>
      <c r="H238" s="142"/>
      <c r="I238" s="141"/>
    </row>
    <row r="239" spans="1:9">
      <c r="A239" s="142"/>
      <c r="B239" s="142"/>
      <c r="C239" s="142"/>
      <c r="D239" s="142"/>
      <c r="E239" s="142"/>
      <c r="F239" s="142"/>
      <c r="G239" s="142"/>
      <c r="H239" s="142"/>
      <c r="I239" s="141"/>
    </row>
    <row r="240" spans="1:9">
      <c r="A240" s="142"/>
      <c r="B240" s="142"/>
      <c r="C240" s="142"/>
      <c r="D240" s="142"/>
      <c r="E240" s="142"/>
      <c r="F240" s="142"/>
      <c r="G240" s="142"/>
      <c r="H240" s="142"/>
      <c r="I240" s="141"/>
    </row>
    <row r="241" spans="1:9">
      <c r="A241" s="142"/>
      <c r="B241" s="142"/>
      <c r="C241" s="142"/>
      <c r="D241" s="142"/>
      <c r="E241" s="142"/>
      <c r="F241" s="142"/>
      <c r="G241" s="142"/>
      <c r="H241" s="142"/>
      <c r="I241" s="141"/>
    </row>
    <row r="242" spans="1:9">
      <c r="A242" s="142"/>
      <c r="B242" s="142"/>
      <c r="C242" s="142"/>
      <c r="D242" s="142"/>
      <c r="E242" s="142"/>
      <c r="F242" s="142"/>
      <c r="G242" s="142"/>
      <c r="H242" s="142"/>
      <c r="I242" s="141"/>
    </row>
    <row r="243" spans="1:9">
      <c r="A243" s="142"/>
      <c r="B243" s="142"/>
      <c r="C243" s="142"/>
      <c r="D243" s="142"/>
      <c r="E243" s="142"/>
      <c r="F243" s="142"/>
      <c r="G243" s="142"/>
      <c r="H243" s="142"/>
      <c r="I243" s="141"/>
    </row>
    <row r="244" spans="1:9">
      <c r="A244" s="142"/>
      <c r="B244" s="142"/>
      <c r="C244" s="142"/>
      <c r="D244" s="142"/>
      <c r="E244" s="142"/>
      <c r="F244" s="142"/>
      <c r="G244" s="142"/>
      <c r="H244" s="142"/>
      <c r="I244" s="141"/>
    </row>
    <row r="245" spans="1:9">
      <c r="A245" s="142"/>
      <c r="B245" s="142"/>
      <c r="C245" s="142"/>
      <c r="D245" s="142"/>
      <c r="E245" s="142"/>
      <c r="F245" s="142"/>
      <c r="G245" s="142"/>
      <c r="H245" s="142"/>
      <c r="I245" s="141"/>
    </row>
    <row r="246" spans="1:9">
      <c r="A246" s="142"/>
      <c r="B246" s="142"/>
      <c r="C246" s="142"/>
      <c r="D246" s="142"/>
    </row>
  </sheetData>
  <sheetCalcPr fullCalcOnLoad="1"/>
  <mergeCells count="3">
    <mergeCell ref="E4:E5"/>
    <mergeCell ref="H4:H5"/>
    <mergeCell ref="I4:I5"/>
  </mergeCells>
  <phoneticPr fontId="23" type="noConversion"/>
  <pageMargins left="0.17" right="0.17" top="0.17" bottom="0.18" header="0" footer="0.17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W248"/>
  <sheetViews>
    <sheetView workbookViewId="0">
      <selection sqref="A1:A3"/>
    </sheetView>
  </sheetViews>
  <sheetFormatPr baseColWidth="10" defaultRowHeight="12"/>
  <cols>
    <col min="1" max="1" width="29.1640625" customWidth="1"/>
    <col min="2" max="2" width="11.5" bestFit="1" customWidth="1"/>
    <col min="3" max="3" width="10.1640625" bestFit="1" customWidth="1"/>
    <col min="4" max="4" width="12.5" bestFit="1" customWidth="1"/>
    <col min="5" max="5" width="15.6640625" customWidth="1"/>
    <col min="6" max="6" width="13.5" bestFit="1" customWidth="1"/>
    <col min="7" max="7" width="8.5" bestFit="1" customWidth="1"/>
    <col min="8" max="8" width="13.33203125" bestFit="1" customWidth="1"/>
    <col min="9" max="9" width="7.5" style="72" bestFit="1" customWidth="1"/>
    <col min="10" max="10" width="3.5" style="117" customWidth="1"/>
    <col min="11" max="11" width="6.5" customWidth="1"/>
    <col min="12" max="12" width="27.5" customWidth="1"/>
    <col min="13" max="13" width="10.5" bestFit="1" customWidth="1"/>
    <col min="14" max="14" width="13.5" bestFit="1" customWidth="1"/>
    <col min="15" max="15" width="10.5" bestFit="1" customWidth="1"/>
    <col min="16" max="16" width="15" bestFit="1" customWidth="1"/>
    <col min="17" max="17" width="8.33203125" bestFit="1" customWidth="1"/>
    <col min="18" max="18" width="14.6640625" bestFit="1" customWidth="1"/>
  </cols>
  <sheetData>
    <row r="1" spans="1:19" ht="20">
      <c r="A1" s="1" t="s">
        <v>63</v>
      </c>
      <c r="B1" s="2"/>
      <c r="I1" s="2"/>
      <c r="J1" s="3"/>
      <c r="K1" s="2"/>
      <c r="L1" s="2"/>
      <c r="M1" s="2"/>
    </row>
    <row r="2" spans="1:19" ht="13">
      <c r="A2" s="4" t="s">
        <v>65</v>
      </c>
      <c r="B2" s="5"/>
      <c r="C2" s="5"/>
      <c r="D2" s="5"/>
      <c r="E2" s="5"/>
      <c r="F2" s="5"/>
      <c r="G2" s="5"/>
      <c r="H2" s="5"/>
      <c r="I2" s="5"/>
      <c r="J2" s="6"/>
    </row>
    <row r="3" spans="1:19" ht="14" thickBot="1">
      <c r="A3" s="104" t="s">
        <v>64</v>
      </c>
      <c r="G3" s="5"/>
      <c r="H3" s="5"/>
      <c r="I3" s="5"/>
      <c r="J3" s="6"/>
    </row>
    <row r="4" spans="1:19" ht="13.5" customHeight="1" thickBot="1">
      <c r="A4" s="7" t="s">
        <v>66</v>
      </c>
      <c r="B4" s="8" t="s">
        <v>67</v>
      </c>
      <c r="C4" s="8" t="s">
        <v>68</v>
      </c>
      <c r="D4" s="9" t="s">
        <v>69</v>
      </c>
      <c r="E4" s="171" t="s">
        <v>70</v>
      </c>
      <c r="F4" s="10">
        <f>+F5*4.333333</f>
        <v>17.333331999999999</v>
      </c>
      <c r="G4" s="11" t="s">
        <v>71</v>
      </c>
      <c r="H4" s="171" t="s">
        <v>72</v>
      </c>
      <c r="I4" s="173">
        <v>5</v>
      </c>
      <c r="J4" s="6"/>
      <c r="K4" s="12" t="s">
        <v>73</v>
      </c>
      <c r="L4" s="13"/>
      <c r="M4" s="13"/>
      <c r="N4" s="13"/>
      <c r="O4" s="13"/>
      <c r="P4" s="14" t="s">
        <v>74</v>
      </c>
      <c r="Q4" s="13"/>
    </row>
    <row r="5" spans="1:19" ht="14" thickBot="1">
      <c r="A5" s="15" t="s">
        <v>43</v>
      </c>
      <c r="B5" s="16">
        <v>4</v>
      </c>
      <c r="C5" s="17">
        <v>85.02</v>
      </c>
      <c r="D5" s="17">
        <f t="shared" ref="D5:D10" si="0">C5*B5</f>
        <v>340.08</v>
      </c>
      <c r="E5" s="172"/>
      <c r="F5" s="18">
        <v>4</v>
      </c>
      <c r="G5" s="19" t="s">
        <v>75</v>
      </c>
      <c r="H5" s="172"/>
      <c r="I5" s="174"/>
      <c r="J5" s="6"/>
      <c r="K5" s="20" t="s">
        <v>76</v>
      </c>
      <c r="L5" s="20"/>
      <c r="M5" s="21">
        <f>+C35</f>
        <v>26.071428571428573</v>
      </c>
      <c r="N5" s="21">
        <v>30</v>
      </c>
      <c r="O5" s="23" t="s">
        <v>77</v>
      </c>
      <c r="P5" s="24">
        <f>+N5*M5</f>
        <v>782.14285714285722</v>
      </c>
      <c r="Q5" s="25">
        <f t="shared" ref="Q5:Q14" si="1">P5/$P$49</f>
        <v>3.9782772828570609E-2</v>
      </c>
    </row>
    <row r="6" spans="1:19" ht="14" thickBot="1">
      <c r="A6" s="15" t="s">
        <v>51</v>
      </c>
      <c r="B6" s="16">
        <v>1</v>
      </c>
      <c r="C6" s="17">
        <v>53.15</v>
      </c>
      <c r="D6" s="17">
        <f t="shared" si="0"/>
        <v>53.15</v>
      </c>
      <c r="E6" s="7" t="s">
        <v>78</v>
      </c>
      <c r="F6" s="8" t="s">
        <v>79</v>
      </c>
      <c r="G6" s="9" t="s">
        <v>80</v>
      </c>
      <c r="H6" s="26" t="s">
        <v>81</v>
      </c>
      <c r="I6" s="26" t="s">
        <v>80</v>
      </c>
      <c r="J6" s="27"/>
      <c r="K6" s="20" t="s">
        <v>82</v>
      </c>
      <c r="L6" s="20"/>
      <c r="M6" s="21">
        <v>0</v>
      </c>
      <c r="N6" s="21">
        <f>F7+E23+E22*2</f>
        <v>90.316020583190394</v>
      </c>
      <c r="O6" s="23" t="s">
        <v>54</v>
      </c>
      <c r="P6" s="24">
        <f>+N6*M6/D37</f>
        <v>0</v>
      </c>
      <c r="Q6" s="25">
        <f t="shared" si="1"/>
        <v>0</v>
      </c>
      <c r="R6" s="30"/>
      <c r="S6" s="30"/>
    </row>
    <row r="7" spans="1:19" ht="13">
      <c r="A7" s="15" t="s">
        <v>52</v>
      </c>
      <c r="B7" s="16">
        <v>1</v>
      </c>
      <c r="C7" s="17">
        <v>53.15</v>
      </c>
      <c r="D7" s="17">
        <f t="shared" si="0"/>
        <v>53.15</v>
      </c>
      <c r="E7" s="32" t="s">
        <v>84</v>
      </c>
      <c r="F7" s="33">
        <f>C11</f>
        <v>63.263333333333335</v>
      </c>
      <c r="G7" s="34">
        <f>F7/$F$7</f>
        <v>1</v>
      </c>
      <c r="H7" s="35">
        <f>+F7/7.33</f>
        <v>8.6307412460209196</v>
      </c>
      <c r="I7" s="36">
        <f>+H7/$H$7</f>
        <v>1</v>
      </c>
      <c r="J7" s="27"/>
      <c r="K7" s="13" t="s">
        <v>85</v>
      </c>
      <c r="L7" s="20"/>
      <c r="M7" s="21"/>
      <c r="N7" s="21">
        <v>260</v>
      </c>
      <c r="O7" s="23" t="s">
        <v>86</v>
      </c>
      <c r="P7" s="24">
        <f>+N7*2/F5</f>
        <v>130</v>
      </c>
      <c r="Q7" s="25">
        <f t="shared" si="1"/>
        <v>6.6122964884016899E-3</v>
      </c>
    </row>
    <row r="8" spans="1:19" ht="13">
      <c r="A8" s="31" t="s">
        <v>83</v>
      </c>
      <c r="B8" s="16">
        <v>20</v>
      </c>
      <c r="C8" s="17">
        <v>53.15</v>
      </c>
      <c r="D8" s="17">
        <f t="shared" si="0"/>
        <v>1063</v>
      </c>
      <c r="E8" s="38" t="s">
        <v>87</v>
      </c>
      <c r="F8" s="39">
        <f>(H33)/7</f>
        <v>270.32459806525242</v>
      </c>
      <c r="G8" s="40">
        <f>F8/$F$7</f>
        <v>4.2730059233666537</v>
      </c>
      <c r="H8" s="41">
        <f>+F8/(B33/C33)</f>
        <v>15.286825078725618</v>
      </c>
      <c r="I8" s="42">
        <f>+H8/$H$7</f>
        <v>1.7712065097274687</v>
      </c>
      <c r="J8" s="27"/>
      <c r="K8" s="13" t="s">
        <v>88</v>
      </c>
      <c r="L8" s="20"/>
      <c r="M8" s="21"/>
      <c r="N8" s="21">
        <v>35</v>
      </c>
      <c r="O8" s="23" t="s">
        <v>89</v>
      </c>
      <c r="P8" s="24">
        <f>N8/F5</f>
        <v>8.75</v>
      </c>
      <c r="Q8" s="25">
        <f t="shared" si="1"/>
        <v>4.4505841748857531E-4</v>
      </c>
    </row>
    <row r="9" spans="1:19" ht="13">
      <c r="A9" s="31" t="s">
        <v>44</v>
      </c>
      <c r="B9" s="16">
        <v>36</v>
      </c>
      <c r="C9" s="17">
        <v>66.650000000000006</v>
      </c>
      <c r="D9" s="17">
        <f t="shared" si="0"/>
        <v>2399.4</v>
      </c>
      <c r="E9" s="38" t="s">
        <v>90</v>
      </c>
      <c r="F9" s="39">
        <f>(H33)/7+C42*F8/30</f>
        <v>337.90574758156549</v>
      </c>
      <c r="G9" s="40">
        <f>F9/$F$7</f>
        <v>5.3412574042083172</v>
      </c>
      <c r="H9" s="41">
        <f>+F9/(B33/C33)</f>
        <v>19.10853134840702</v>
      </c>
      <c r="I9" s="42">
        <f>+H9/$H$7</f>
        <v>2.2140081371593356</v>
      </c>
      <c r="J9" s="45"/>
      <c r="K9" s="20" t="s">
        <v>91</v>
      </c>
      <c r="L9" s="20"/>
      <c r="M9" s="46">
        <v>3.2500000000000001E-2</v>
      </c>
      <c r="N9" s="24">
        <f>+$H$33*365/(7*12)</f>
        <v>8222.3731911514278</v>
      </c>
      <c r="O9" s="23" t="s">
        <v>92</v>
      </c>
      <c r="P9" s="24">
        <f>N9*M9</f>
        <v>267.2271287124214</v>
      </c>
      <c r="Q9" s="25">
        <f t="shared" si="1"/>
        <v>1.3592192344544696E-2</v>
      </c>
    </row>
    <row r="10" spans="1:19" ht="14" thickBot="1">
      <c r="A10" s="15" t="s">
        <v>47</v>
      </c>
      <c r="B10" s="43">
        <v>4</v>
      </c>
      <c r="C10" s="17">
        <f>+C9</f>
        <v>66.650000000000006</v>
      </c>
      <c r="D10" s="44">
        <f t="shared" si="0"/>
        <v>266.60000000000002</v>
      </c>
      <c r="E10" s="51" t="s">
        <v>93</v>
      </c>
      <c r="F10" s="49">
        <f>N52</f>
        <v>794.35719226210381</v>
      </c>
      <c r="G10" s="52">
        <f>F10/F7</f>
        <v>12.556360065263245</v>
      </c>
      <c r="H10" s="53">
        <f>+F10/(B33/C33)</f>
        <v>44.920808298796416</v>
      </c>
      <c r="I10" s="54">
        <f>+H10/$H$7</f>
        <v>5.2047451103352813</v>
      </c>
      <c r="J10" s="45"/>
      <c r="K10" s="20" t="s">
        <v>94</v>
      </c>
      <c r="M10" s="46">
        <v>1.2500000000000001E-2</v>
      </c>
      <c r="N10" s="24">
        <f>+$H$33*365/(7*12)</f>
        <v>8222.3731911514278</v>
      </c>
      <c r="O10" s="23" t="s">
        <v>92</v>
      </c>
      <c r="P10" s="24">
        <f>N10*M10</f>
        <v>102.77966488939285</v>
      </c>
      <c r="Q10" s="25">
        <f t="shared" si="1"/>
        <v>5.2277662863633445E-3</v>
      </c>
    </row>
    <row r="11" spans="1:19" ht="14" thickBot="1">
      <c r="A11" s="47"/>
      <c r="B11" s="48">
        <f>SUM(B5:B10)</f>
        <v>66</v>
      </c>
      <c r="C11" s="49">
        <f>+SUMPRODUCT(B5:B10,C5:C10)/B11</f>
        <v>63.263333333333335</v>
      </c>
      <c r="D11" s="50">
        <f>SUM(D5:D10)</f>
        <v>4175.38</v>
      </c>
      <c r="F11" s="58"/>
      <c r="G11" s="58"/>
      <c r="H11" s="58"/>
      <c r="I11" s="58"/>
      <c r="J11" s="45"/>
      <c r="K11" s="20" t="s">
        <v>95</v>
      </c>
      <c r="M11" s="46">
        <v>1.2500000000000001E-2</v>
      </c>
      <c r="N11" s="24">
        <f>+$H$33*365/(7*12)</f>
        <v>8222.3731911514278</v>
      </c>
      <c r="O11" s="23" t="s">
        <v>92</v>
      </c>
      <c r="P11" s="24">
        <f>N11*M11</f>
        <v>102.77966488939285</v>
      </c>
      <c r="Q11" s="25">
        <f t="shared" si="1"/>
        <v>5.2277662863633445E-3</v>
      </c>
    </row>
    <row r="12" spans="1:19" ht="13">
      <c r="A12" s="55"/>
      <c r="B12" s="56"/>
      <c r="C12" s="57"/>
      <c r="I12"/>
      <c r="J12" s="45"/>
      <c r="K12" s="20" t="s">
        <v>102</v>
      </c>
      <c r="M12" s="60">
        <v>25</v>
      </c>
      <c r="N12" s="61">
        <v>3</v>
      </c>
      <c r="O12" s="62"/>
      <c r="P12" s="24">
        <f>ROUNDUP(F5/N12,0)*M12/$F$5</f>
        <v>12.5</v>
      </c>
      <c r="Q12" s="25">
        <f t="shared" si="1"/>
        <v>6.3579773926939322E-4</v>
      </c>
    </row>
    <row r="13" spans="1:19" ht="13">
      <c r="A13" s="12" t="s">
        <v>96</v>
      </c>
      <c r="B13" s="59" t="s">
        <v>97</v>
      </c>
      <c r="C13" s="59" t="s">
        <v>98</v>
      </c>
      <c r="D13" s="59" t="s">
        <v>80</v>
      </c>
      <c r="E13" s="14" t="s">
        <v>99</v>
      </c>
      <c r="F13" s="59" t="s">
        <v>100</v>
      </c>
      <c r="H13" s="59" t="s">
        <v>101</v>
      </c>
      <c r="J13" s="45"/>
      <c r="K13" s="13" t="s">
        <v>104</v>
      </c>
      <c r="M13" s="60">
        <v>5</v>
      </c>
      <c r="N13" s="61">
        <v>1</v>
      </c>
      <c r="O13" s="62"/>
      <c r="P13" s="24">
        <f>ROUNDUP(F5/N13,0)*M13/$F$5</f>
        <v>5</v>
      </c>
      <c r="Q13" s="25">
        <f t="shared" si="1"/>
        <v>2.5431909570775729E-4</v>
      </c>
    </row>
    <row r="14" spans="1:19" ht="14" thickBot="1">
      <c r="A14" s="13" t="s">
        <v>103</v>
      </c>
      <c r="B14" s="22">
        <v>0</v>
      </c>
      <c r="D14" s="63">
        <v>1</v>
      </c>
      <c r="E14" s="64">
        <f>+F7/7.3333</f>
        <v>8.6268573948063398</v>
      </c>
      <c r="F14" s="64">
        <f t="shared" ref="F14:F20" si="2">E14*D14</f>
        <v>8.6268573948063398</v>
      </c>
      <c r="H14" s="64">
        <f t="shared" ref="H14:H18" si="3">F14*B14</f>
        <v>0</v>
      </c>
      <c r="I14" s="25">
        <f t="shared" ref="I14:I20" si="4">H14*52/12/$P$49</f>
        <v>0</v>
      </c>
      <c r="J14" s="45"/>
      <c r="K14" s="20" t="s">
        <v>106</v>
      </c>
      <c r="M14" s="60">
        <v>25</v>
      </c>
      <c r="N14" s="61">
        <v>3</v>
      </c>
      <c r="O14" s="62"/>
      <c r="P14" s="24">
        <f>ROUNDUP(F5/N14,0)*M14/$F$5</f>
        <v>12.5</v>
      </c>
      <c r="Q14" s="25">
        <f t="shared" si="1"/>
        <v>6.3579773926939322E-4</v>
      </c>
    </row>
    <row r="15" spans="1:19" ht="15" thickTop="1" thickBot="1">
      <c r="A15" s="13" t="s">
        <v>45</v>
      </c>
      <c r="B15" s="22">
        <v>35</v>
      </c>
      <c r="D15" s="63">
        <v>1</v>
      </c>
      <c r="E15" s="64">
        <f>+C11/5.83</f>
        <v>10.85134362492853</v>
      </c>
      <c r="F15" s="64">
        <f t="shared" si="2"/>
        <v>10.85134362492853</v>
      </c>
      <c r="H15" s="64">
        <f t="shared" si="3"/>
        <v>379.79702687249858</v>
      </c>
      <c r="I15" s="25">
        <f t="shared" si="4"/>
        <v>8.3711018236480819E-2</v>
      </c>
      <c r="J15" s="45"/>
      <c r="K15" s="12" t="s">
        <v>108</v>
      </c>
      <c r="L15" s="20"/>
      <c r="M15" s="28"/>
      <c r="N15" s="14" t="s">
        <v>109</v>
      </c>
      <c r="O15" s="14" t="s">
        <v>79</v>
      </c>
      <c r="P15" s="14" t="s">
        <v>74</v>
      </c>
      <c r="Q15" s="25"/>
    </row>
    <row r="16" spans="1:19" ht="15" thickTop="1" thickBot="1">
      <c r="A16" s="55" t="s">
        <v>107</v>
      </c>
      <c r="B16" s="22">
        <v>20</v>
      </c>
      <c r="D16" s="65">
        <v>2.1</v>
      </c>
      <c r="E16" s="66">
        <f>+E15</f>
        <v>10.85134362492853</v>
      </c>
      <c r="F16" s="64">
        <f t="shared" si="2"/>
        <v>22.787821612349916</v>
      </c>
      <c r="H16" s="64">
        <f t="shared" si="3"/>
        <v>455.75643224699832</v>
      </c>
      <c r="I16" s="25">
        <f t="shared" si="4"/>
        <v>0.10045322188377699</v>
      </c>
      <c r="J16" s="45"/>
      <c r="K16" s="68">
        <v>10</v>
      </c>
      <c r="L16" t="s">
        <v>111</v>
      </c>
      <c r="M16" s="69">
        <v>3</v>
      </c>
      <c r="N16" s="37">
        <v>280</v>
      </c>
      <c r="O16" s="70">
        <f>N16*K16/M16/B11/M5</f>
        <v>0.54241040542410401</v>
      </c>
      <c r="P16" s="70">
        <f>O16*$M$5</f>
        <v>14.141414141414142</v>
      </c>
      <c r="Q16" s="25">
        <f>O16/$P$49</f>
        <v>2.7589064761987229E-5</v>
      </c>
    </row>
    <row r="17" spans="1:17" ht="15" thickTop="1" thickBot="1">
      <c r="A17" s="13" t="s">
        <v>57</v>
      </c>
      <c r="B17" s="22">
        <v>0</v>
      </c>
      <c r="C17" s="67">
        <v>1</v>
      </c>
      <c r="D17" s="65">
        <f>+D16</f>
        <v>2.1</v>
      </c>
      <c r="E17" s="66">
        <f>+E15</f>
        <v>10.85134362492853</v>
      </c>
      <c r="F17" s="64">
        <f t="shared" si="2"/>
        <v>22.787821612349916</v>
      </c>
      <c r="H17" s="64">
        <f>F17*B17*C17</f>
        <v>0</v>
      </c>
      <c r="I17" s="25">
        <f t="shared" si="4"/>
        <v>0</v>
      </c>
      <c r="J17" s="45"/>
      <c r="K17" s="71">
        <f>2*K16</f>
        <v>20</v>
      </c>
      <c r="L17" t="s">
        <v>112</v>
      </c>
      <c r="M17" s="72" t="s">
        <v>113</v>
      </c>
      <c r="N17" s="37">
        <v>9</v>
      </c>
      <c r="O17" s="70">
        <f>N17*K17/$B$11</f>
        <v>2.7272727272727271</v>
      </c>
      <c r="P17" s="70">
        <f>O17*C35</f>
        <v>71.103896103896105</v>
      </c>
      <c r="Q17" s="25">
        <f>O17/$P$49</f>
        <v>1.3871950674968579E-4</v>
      </c>
    </row>
    <row r="18" spans="1:17" ht="15" thickTop="1" thickBot="1">
      <c r="A18" s="20" t="s">
        <v>110</v>
      </c>
      <c r="B18" s="22">
        <v>11</v>
      </c>
      <c r="C18" s="67">
        <f>+IF(B18&gt;0,1,0)</f>
        <v>1</v>
      </c>
      <c r="D18" s="63">
        <f>+D17</f>
        <v>2.1</v>
      </c>
      <c r="E18" s="64">
        <f>(E14)</f>
        <v>8.6268573948063398</v>
      </c>
      <c r="F18" s="64">
        <f t="shared" si="2"/>
        <v>18.116400529093315</v>
      </c>
      <c r="H18" s="64">
        <f t="shared" si="3"/>
        <v>199.28040582002646</v>
      </c>
      <c r="I18" s="25">
        <f t="shared" si="4"/>
        <v>4.3923370920367487E-2</v>
      </c>
      <c r="J18" s="45"/>
      <c r="K18" s="71"/>
      <c r="M18" s="72"/>
      <c r="N18" s="37"/>
      <c r="O18" s="70"/>
      <c r="P18" s="70"/>
      <c r="Q18" s="25"/>
    </row>
    <row r="19" spans="1:17" ht="15" thickTop="1" thickBot="1">
      <c r="A19" s="13" t="s">
        <v>46</v>
      </c>
      <c r="B19" s="22">
        <v>35</v>
      </c>
      <c r="D19" s="63">
        <v>0.35</v>
      </c>
      <c r="E19" s="64">
        <f>+E15</f>
        <v>10.85134362492853</v>
      </c>
      <c r="F19" s="64">
        <f t="shared" si="2"/>
        <v>3.7979702687249852</v>
      </c>
      <c r="H19" s="64">
        <f>F19*B19</f>
        <v>132.92895940537448</v>
      </c>
      <c r="I19" s="25">
        <f t="shared" si="4"/>
        <v>2.929885638276828E-2</v>
      </c>
      <c r="J19" s="45"/>
      <c r="K19" s="71">
        <v>0</v>
      </c>
      <c r="L19" t="s">
        <v>116</v>
      </c>
      <c r="M19" s="72" t="s">
        <v>113</v>
      </c>
      <c r="N19" s="37"/>
      <c r="O19" s="70">
        <f>N19*K19/$B$11</f>
        <v>0</v>
      </c>
      <c r="P19" s="70">
        <f>O19*$M$5</f>
        <v>0</v>
      </c>
      <c r="Q19" s="25">
        <f>O19/$P$49</f>
        <v>0</v>
      </c>
    </row>
    <row r="20" spans="1:17" ht="15" thickTop="1" thickBot="1">
      <c r="A20" s="20" t="s">
        <v>114</v>
      </c>
      <c r="B20" s="22">
        <v>0</v>
      </c>
      <c r="C20" s="67">
        <v>1</v>
      </c>
      <c r="D20" s="63">
        <v>3</v>
      </c>
      <c r="E20" s="64">
        <f>(C11+E23+E22*2)/5.83</f>
        <v>15.491598727819964</v>
      </c>
      <c r="F20" s="64">
        <f t="shared" si="2"/>
        <v>46.474796183459894</v>
      </c>
      <c r="H20" s="64">
        <f>F20*B20*C20</f>
        <v>0</v>
      </c>
      <c r="I20" s="25">
        <f t="shared" si="4"/>
        <v>0</v>
      </c>
      <c r="J20" s="45"/>
      <c r="K20" s="12" t="s">
        <v>118</v>
      </c>
      <c r="L20" s="20"/>
      <c r="M20" s="78"/>
      <c r="N20" s="14" t="s">
        <v>119</v>
      </c>
      <c r="O20" s="20"/>
      <c r="P20" s="29"/>
      <c r="Q20" s="25"/>
    </row>
    <row r="21" spans="1:17" ht="15" thickTop="1" thickBot="1">
      <c r="A21" s="73" t="s">
        <v>115</v>
      </c>
      <c r="B21" s="74">
        <f>SUM(B14:B20)</f>
        <v>101</v>
      </c>
      <c r="D21" s="28"/>
      <c r="E21" s="75"/>
      <c r="H21" s="75"/>
      <c r="I21" s="25"/>
      <c r="J21" s="45"/>
      <c r="K21" s="80">
        <v>0.02</v>
      </c>
      <c r="L21" t="s">
        <v>122</v>
      </c>
      <c r="M21" s="60">
        <v>1</v>
      </c>
      <c r="N21" s="24">
        <v>260</v>
      </c>
      <c r="O21" s="29"/>
      <c r="P21" s="70">
        <f>N21*M21*K21/$F$5</f>
        <v>1.3</v>
      </c>
      <c r="Q21" s="25">
        <f>P21/$P$49</f>
        <v>6.6122964884016898E-5</v>
      </c>
    </row>
    <row r="22" spans="1:17" ht="14" thickBot="1">
      <c r="A22" s="20" t="s">
        <v>117</v>
      </c>
      <c r="B22" s="76">
        <v>2</v>
      </c>
      <c r="C22" s="77">
        <v>6</v>
      </c>
      <c r="D22" s="63">
        <v>1</v>
      </c>
      <c r="E22" s="64">
        <f>+E15</f>
        <v>10.85134362492853</v>
      </c>
      <c r="F22" s="75"/>
      <c r="H22" s="64">
        <f>D22*B22*C22*E22</f>
        <v>130.21612349914236</v>
      </c>
      <c r="I22" s="25">
        <f t="shared" ref="I22:I32" si="5">H22*52/12/$P$49</f>
        <v>2.8700920538221989E-2</v>
      </c>
      <c r="J22" s="45"/>
      <c r="K22" s="80">
        <v>0.03</v>
      </c>
      <c r="L22" t="s">
        <v>123</v>
      </c>
      <c r="M22" s="60">
        <v>1</v>
      </c>
      <c r="N22" s="24">
        <v>220</v>
      </c>
      <c r="O22" s="29"/>
      <c r="P22" s="70">
        <f>N22*M22*K22/$F$5</f>
        <v>1.65</v>
      </c>
      <c r="Q22" s="25">
        <f>P22/$P$49</f>
        <v>8.3925301583559904E-5</v>
      </c>
    </row>
    <row r="23" spans="1:17" ht="14" thickTop="1">
      <c r="A23" s="20" t="s">
        <v>120</v>
      </c>
      <c r="C23" s="79">
        <v>0</v>
      </c>
      <c r="D23" s="63">
        <v>1</v>
      </c>
      <c r="E23" s="64">
        <v>5.35</v>
      </c>
      <c r="F23" t="s">
        <v>121</v>
      </c>
      <c r="H23" s="64">
        <f>D23*C23*E23</f>
        <v>0</v>
      </c>
      <c r="I23" s="25">
        <f t="shared" si="5"/>
        <v>0</v>
      </c>
      <c r="J23" s="45"/>
      <c r="K23" s="80">
        <v>0.02</v>
      </c>
      <c r="L23" t="s">
        <v>125</v>
      </c>
      <c r="M23" s="60">
        <v>5</v>
      </c>
      <c r="N23" s="24">
        <v>75</v>
      </c>
      <c r="O23" s="29"/>
      <c r="P23" s="70">
        <f>N23*M23*K23/$F$5</f>
        <v>1.875</v>
      </c>
      <c r="Q23" s="25">
        <f>P23/$P$49</f>
        <v>9.5369660890408983E-5</v>
      </c>
    </row>
    <row r="24" spans="1:17" ht="13">
      <c r="A24" s="13" t="s">
        <v>56</v>
      </c>
      <c r="B24" s="142"/>
      <c r="C24" s="79">
        <v>0</v>
      </c>
      <c r="D24" s="63">
        <v>1</v>
      </c>
      <c r="E24" s="64">
        <v>7</v>
      </c>
      <c r="H24" s="64">
        <f>D24*C24*E24</f>
        <v>0</v>
      </c>
      <c r="I24" s="25">
        <f t="shared" si="5"/>
        <v>0</v>
      </c>
      <c r="J24" s="45"/>
      <c r="K24" s="81"/>
      <c r="M24" s="78"/>
      <c r="N24" s="29"/>
      <c r="O24" s="29"/>
      <c r="P24" s="82"/>
      <c r="Q24" s="25"/>
    </row>
    <row r="25" spans="1:17" ht="13">
      <c r="A25" s="20" t="s">
        <v>124</v>
      </c>
      <c r="C25" s="79">
        <v>6</v>
      </c>
      <c r="D25" s="63">
        <v>1</v>
      </c>
      <c r="E25" s="64">
        <f>65*15%</f>
        <v>9.75</v>
      </c>
      <c r="H25" s="64">
        <f>D25*C25*E25</f>
        <v>58.5</v>
      </c>
      <c r="I25" s="25">
        <f t="shared" si="5"/>
        <v>1.2893978152383296E-2</v>
      </c>
      <c r="J25" s="45"/>
      <c r="K25" s="80">
        <v>0.02</v>
      </c>
      <c r="L25" t="s">
        <v>128</v>
      </c>
      <c r="M25" s="60">
        <v>2</v>
      </c>
      <c r="N25" s="24">
        <v>75</v>
      </c>
      <c r="O25" s="29"/>
      <c r="P25" s="70">
        <f>N25*M25*K25/$F$5</f>
        <v>0.75</v>
      </c>
      <c r="Q25" s="25">
        <f>P25/$P$49</f>
        <v>3.8147864356163594E-5</v>
      </c>
    </row>
    <row r="26" spans="1:17" ht="13">
      <c r="A26" s="20" t="s">
        <v>126</v>
      </c>
      <c r="C26" s="79">
        <f>+I4/F4</f>
        <v>0.28846156065088929</v>
      </c>
      <c r="D26" s="63">
        <v>1</v>
      </c>
      <c r="E26" s="64">
        <f>F7</f>
        <v>63.263333333333335</v>
      </c>
      <c r="H26" s="64">
        <f>D26*C26*E26</f>
        <v>18.24903986531076</v>
      </c>
      <c r="I26" s="25">
        <f t="shared" si="5"/>
        <v>4.0222687406032262E-3</v>
      </c>
      <c r="J26" s="45"/>
      <c r="K26" s="88">
        <v>0.5</v>
      </c>
      <c r="L26" t="s">
        <v>130</v>
      </c>
      <c r="M26" s="89"/>
      <c r="N26" s="24">
        <f>180+180+180+220+260</f>
        <v>1020</v>
      </c>
      <c r="O26" s="29"/>
      <c r="P26" s="70">
        <f>N26*K26/B11/12</f>
        <v>0.64393939393939392</v>
      </c>
      <c r="Q26" s="25">
        <f>P26/$P$49</f>
        <v>3.2753216871453592E-5</v>
      </c>
    </row>
    <row r="27" spans="1:17" ht="13">
      <c r="A27" s="83" t="s">
        <v>127</v>
      </c>
      <c r="B27" s="84">
        <v>0</v>
      </c>
      <c r="C27" s="79">
        <f>-C26</f>
        <v>-0.28846156065088929</v>
      </c>
      <c r="D27" s="85">
        <f>+SUMPRODUCT(B14:B19,D14:D19)/(SUM(B14:B19))</f>
        <v>1.1123762376237623</v>
      </c>
      <c r="E27" s="86">
        <f>+E14</f>
        <v>8.6268573948063398</v>
      </c>
      <c r="F27" s="86">
        <f>E27*D27</f>
        <v>9.5963111713514078</v>
      </c>
      <c r="H27" s="86">
        <f>D27*B27*E27</f>
        <v>0</v>
      </c>
      <c r="I27" s="25">
        <f t="shared" si="5"/>
        <v>0</v>
      </c>
      <c r="J27" s="45"/>
      <c r="K27" s="90">
        <v>4</v>
      </c>
      <c r="L27" s="13" t="s">
        <v>132</v>
      </c>
      <c r="M27" s="91">
        <f>+K27/B11</f>
        <v>6.0606060606060608E-2</v>
      </c>
      <c r="N27" s="29">
        <f>H34+H43+H50+H72+SUM(P5:P25)+H35</f>
        <v>18536.28526455762</v>
      </c>
      <c r="O27" s="29"/>
      <c r="P27" s="92">
        <f>N27*M27</f>
        <v>1123.4112281550074</v>
      </c>
      <c r="Q27" s="25">
        <f>P27/$P$49</f>
        <v>5.7140985530464504E-2</v>
      </c>
    </row>
    <row r="28" spans="1:17" ht="13">
      <c r="A28" s="87" t="s">
        <v>129</v>
      </c>
      <c r="C28" s="79">
        <f>-I4/F4</f>
        <v>-0.28846156065088929</v>
      </c>
      <c r="D28" s="63">
        <f>+D25</f>
        <v>1</v>
      </c>
      <c r="E28" s="64"/>
      <c r="F28" s="86">
        <f>+SUMPRODUCT(C22:C25,E22:E25)/(SUM(C22:C25))</f>
        <v>10.300671812464264</v>
      </c>
      <c r="H28" s="86">
        <f>D28*C28*F28</f>
        <v>-2.9713478667760662</v>
      </c>
      <c r="I28" s="25">
        <f t="shared" si="5"/>
        <v>-6.5491443551010783E-4</v>
      </c>
      <c r="J28" s="45"/>
      <c r="K28" s="90"/>
      <c r="L28" s="13"/>
      <c r="M28" s="91"/>
      <c r="N28" s="29"/>
      <c r="O28" s="29"/>
      <c r="P28" s="92"/>
      <c r="Q28" s="25"/>
    </row>
    <row r="29" spans="1:17" ht="13">
      <c r="A29" s="20" t="s">
        <v>131</v>
      </c>
      <c r="C29" s="79">
        <v>1</v>
      </c>
      <c r="D29" s="63">
        <v>1</v>
      </c>
      <c r="E29" s="24">
        <f>F7</f>
        <v>63.263333333333335</v>
      </c>
      <c r="H29" s="64">
        <f>D29*C29*E29</f>
        <v>63.263333333333335</v>
      </c>
      <c r="I29" s="25">
        <f t="shared" si="5"/>
        <v>1.394386389481952E-2</v>
      </c>
      <c r="J29" s="45"/>
    </row>
    <row r="30" spans="1:17" ht="13">
      <c r="A30" s="20" t="s">
        <v>58</v>
      </c>
      <c r="C30" s="79">
        <v>0</v>
      </c>
      <c r="D30" s="63">
        <v>1</v>
      </c>
      <c r="E30" s="24">
        <f>+E32</f>
        <v>228.62610664042919</v>
      </c>
      <c r="H30" s="64">
        <f>E30*D30*C30</f>
        <v>0</v>
      </c>
      <c r="I30" s="25">
        <f t="shared" si="5"/>
        <v>0</v>
      </c>
      <c r="J30" s="45"/>
    </row>
    <row r="31" spans="1:17" ht="13">
      <c r="A31" s="20" t="s">
        <v>50</v>
      </c>
      <c r="C31" s="79">
        <v>1</v>
      </c>
      <c r="D31" s="63">
        <v>1</v>
      </c>
      <c r="E31" s="24">
        <f>+E32</f>
        <v>228.62610664042919</v>
      </c>
      <c r="H31" s="64">
        <f>E31*D31*C31</f>
        <v>228.62610664042919</v>
      </c>
      <c r="I31" s="25">
        <f t="shared" si="5"/>
        <v>5.0391453403182004E-2</v>
      </c>
      <c r="J31" s="45"/>
    </row>
    <row r="32" spans="1:17" ht="13">
      <c r="A32" s="20" t="s">
        <v>49</v>
      </c>
      <c r="C32" s="79">
        <v>1</v>
      </c>
      <c r="D32" s="63">
        <v>1</v>
      </c>
      <c r="E32" s="93">
        <f>(SUM(H14:H28))/C22</f>
        <v>228.62610664042919</v>
      </c>
      <c r="H32" s="64">
        <f>E32*D32*C32</f>
        <v>228.62610664042919</v>
      </c>
      <c r="I32" s="25">
        <f t="shared" si="5"/>
        <v>5.0391453403182004E-2</v>
      </c>
      <c r="J32" s="45"/>
    </row>
    <row r="33" spans="1:23" ht="14" thickBot="1">
      <c r="A33" s="73" t="s">
        <v>133</v>
      </c>
      <c r="B33" s="94">
        <f>+B21+B27</f>
        <v>101</v>
      </c>
      <c r="C33" s="95">
        <f>+C22+C27</f>
        <v>5.7115384393491109</v>
      </c>
      <c r="F33" s="72" t="s">
        <v>134</v>
      </c>
      <c r="H33" s="96">
        <f>SUM(H14:H32)</f>
        <v>1892.272186456767</v>
      </c>
      <c r="J33" s="45"/>
      <c r="N33" s="106" t="s">
        <v>137</v>
      </c>
      <c r="O33" s="106"/>
      <c r="P33" s="101">
        <f>SUM(P5:P27)</f>
        <v>2638.5547934283213</v>
      </c>
      <c r="Q33" s="107">
        <f>P33/$P$49</f>
        <v>0.1342069738080118</v>
      </c>
    </row>
    <row r="34" spans="1:23" ht="15" thickTop="1" thickBot="1">
      <c r="A34" s="73"/>
      <c r="B34" s="97"/>
      <c r="C34" s="98"/>
      <c r="D34" s="99"/>
      <c r="E34" s="100" t="s">
        <v>135</v>
      </c>
      <c r="F34" s="99"/>
      <c r="H34" s="101">
        <f>H33*365/(7*12)</f>
        <v>8222.3731911514278</v>
      </c>
      <c r="I34" s="102">
        <f>H34/$P$49</f>
        <v>0.41822130290906756</v>
      </c>
      <c r="J34" s="45"/>
      <c r="Q34" s="29"/>
    </row>
    <row r="35" spans="1:23" ht="14" thickTop="1">
      <c r="A35" s="20"/>
      <c r="B35" s="20"/>
      <c r="C35" s="103">
        <f>C22*((365)/7)/12</f>
        <v>26.071428571428573</v>
      </c>
      <c r="D35" s="104" t="s">
        <v>136</v>
      </c>
      <c r="E35" s="162">
        <f>65*35%</f>
        <v>22.75</v>
      </c>
      <c r="H35" s="66">
        <f>+E35*C35</f>
        <v>593.125</v>
      </c>
      <c r="I35" s="102">
        <f>H35/$P$49</f>
        <v>3.0168602728332709E-2</v>
      </c>
      <c r="J35" s="45"/>
      <c r="K35" s="110" t="s">
        <v>142</v>
      </c>
      <c r="L35" s="111"/>
      <c r="M35" s="111"/>
      <c r="N35" s="111"/>
      <c r="O35" s="111"/>
      <c r="P35" s="112"/>
      <c r="Q35" s="72"/>
    </row>
    <row r="36" spans="1:23" ht="13">
      <c r="A36" s="105"/>
      <c r="B36" s="105"/>
      <c r="C36" s="105"/>
      <c r="J36" s="45"/>
      <c r="K36" s="111"/>
      <c r="L36" s="111" t="s">
        <v>96</v>
      </c>
      <c r="M36" s="113"/>
      <c r="N36" s="113"/>
      <c r="O36" s="113"/>
      <c r="P36" s="24">
        <f>H34</f>
        <v>8222.3731911514278</v>
      </c>
      <c r="Q36" s="107">
        <f>P36/$P$49</f>
        <v>0.41822130290906756</v>
      </c>
    </row>
    <row r="37" spans="1:23" ht="13">
      <c r="A37" s="14" t="s">
        <v>138</v>
      </c>
      <c r="C37" s="14" t="s">
        <v>139</v>
      </c>
      <c r="D37" s="108">
        <f>F5</f>
        <v>4</v>
      </c>
      <c r="E37" s="14" t="s">
        <v>99</v>
      </c>
      <c r="F37" s="14" t="s">
        <v>140</v>
      </c>
      <c r="H37" s="14" t="s">
        <v>74</v>
      </c>
      <c r="I37" s="14"/>
      <c r="J37" s="45"/>
      <c r="K37" s="111"/>
      <c r="L37" t="s">
        <v>136</v>
      </c>
      <c r="P37" s="114">
        <f>+H35</f>
        <v>593.125</v>
      </c>
      <c r="Q37" s="107">
        <f>P37/$P$49</f>
        <v>3.0168602728332709E-2</v>
      </c>
    </row>
    <row r="38" spans="1:23" ht="13">
      <c r="A38" s="13" t="s">
        <v>141</v>
      </c>
      <c r="C38" s="79">
        <v>5</v>
      </c>
      <c r="D38" s="65">
        <f>+C38*D37</f>
        <v>20</v>
      </c>
      <c r="E38" s="79">
        <f>F9</f>
        <v>337.90574758156549</v>
      </c>
      <c r="F38" s="109">
        <v>1</v>
      </c>
      <c r="H38" s="24">
        <f>+E38*C38*F38</f>
        <v>1689.5287379078275</v>
      </c>
      <c r="I38" s="25">
        <f t="shared" ref="I38:I43" si="6">H38/$P$49</f>
        <v>8.593588415939743E-2</v>
      </c>
      <c r="J38" s="45"/>
      <c r="K38" s="111"/>
      <c r="L38" s="111" t="s">
        <v>138</v>
      </c>
      <c r="P38" s="24">
        <f>H43</f>
        <v>6171.5505346708942</v>
      </c>
      <c r="Q38" s="107">
        <f>P38/$P$49</f>
        <v>0.31390863021844556</v>
      </c>
    </row>
    <row r="39" spans="1:23" ht="13">
      <c r="A39" s="13" t="s">
        <v>143</v>
      </c>
      <c r="C39" s="79">
        <f>D39/$D$37</f>
        <v>2.5</v>
      </c>
      <c r="D39" s="65">
        <f>+(IF(F4*7&lt;=3*360/12,0,IF(F4*7&lt;=6*365/12,10,ROUND(F4*7/364,0)*30)))</f>
        <v>10</v>
      </c>
      <c r="E39" s="79">
        <f>F9</f>
        <v>337.90574758156549</v>
      </c>
      <c r="F39" s="109">
        <v>1</v>
      </c>
      <c r="H39" s="24">
        <f>+E39*C39*F39</f>
        <v>844.76436895391373</v>
      </c>
      <c r="I39" s="25">
        <f t="shared" si="6"/>
        <v>4.2967942079698715E-2</v>
      </c>
      <c r="J39" s="45"/>
      <c r="K39" s="111"/>
      <c r="L39" s="111" t="s">
        <v>147</v>
      </c>
      <c r="P39" s="24">
        <f>H50</f>
        <v>1325.5419128559213</v>
      </c>
      <c r="Q39" s="107">
        <f>P39/$P$49</f>
        <v>6.7422124120049748E-2</v>
      </c>
    </row>
    <row r="40" spans="1:23" ht="13">
      <c r="A40" s="13" t="s">
        <v>144</v>
      </c>
      <c r="C40" s="79">
        <f>D40/$D$37</f>
        <v>3.75</v>
      </c>
      <c r="D40" s="65">
        <f>+(IF(F4*7&lt;=360/12,0,IF(F4*7&lt;=6*365/12,15,IF(F4*7&lt;=365,30,IF(F4*7&lt;2*365,45,IF(F4*7&lt;10*365.25,60,90))))))</f>
        <v>15</v>
      </c>
      <c r="E40" s="79">
        <f>F9</f>
        <v>337.90574758156549</v>
      </c>
      <c r="F40" s="109">
        <v>1</v>
      </c>
      <c r="H40" s="24">
        <f>+E40*C40*F40</f>
        <v>1267.1465534308707</v>
      </c>
      <c r="I40" s="25">
        <f t="shared" si="6"/>
        <v>6.4451913119548079E-2</v>
      </c>
      <c r="J40" s="45"/>
      <c r="K40" s="111"/>
      <c r="N40" s="117"/>
    </row>
    <row r="41" spans="1:23" ht="13">
      <c r="A41" s="20" t="s">
        <v>145</v>
      </c>
      <c r="C41" s="79">
        <f>+Diurno!C39</f>
        <v>5.416666666666667</v>
      </c>
      <c r="D41" s="65">
        <f>ROUND(D37,0)*C41</f>
        <v>21.666666666666668</v>
      </c>
      <c r="E41" s="79">
        <f>F7</f>
        <v>63.263333333333335</v>
      </c>
      <c r="F41" s="109">
        <v>1</v>
      </c>
      <c r="H41" s="24">
        <f>+E41*C41*F41</f>
        <v>342.67638888888894</v>
      </c>
      <c r="I41" s="25">
        <f t="shared" si="6"/>
        <v>1.7429829868524403E-2</v>
      </c>
      <c r="J41" s="45"/>
      <c r="K41" s="111"/>
      <c r="L41" s="5" t="s">
        <v>150</v>
      </c>
      <c r="P41" s="121">
        <f>SUM(P36:P40)</f>
        <v>16312.590638678243</v>
      </c>
      <c r="Q41" s="111"/>
    </row>
    <row r="42" spans="1:23" ht="13">
      <c r="A42" s="20" t="s">
        <v>146</v>
      </c>
      <c r="C42" s="79">
        <f>+Diurno!C40</f>
        <v>7.5</v>
      </c>
      <c r="D42" s="65">
        <f>ROUND(D37,0)*C42</f>
        <v>30</v>
      </c>
      <c r="E42" s="79">
        <f>F8</f>
        <v>270.32459806525242</v>
      </c>
      <c r="F42" s="109">
        <v>1</v>
      </c>
      <c r="H42" s="24">
        <f>+E42*C42*F42</f>
        <v>2027.4344854893932</v>
      </c>
      <c r="I42" s="25">
        <f t="shared" si="6"/>
        <v>0.10312306099127694</v>
      </c>
      <c r="J42" s="45"/>
      <c r="L42" s="111"/>
      <c r="P42" s="111"/>
      <c r="Q42" s="111"/>
    </row>
    <row r="43" spans="1:23" ht="14" thickBot="1">
      <c r="C43" s="115"/>
      <c r="D43" s="116"/>
      <c r="E43" s="100" t="s">
        <v>148</v>
      </c>
      <c r="F43" s="116"/>
      <c r="H43" s="101">
        <f>SUM(H38:H42)</f>
        <v>6171.5505346708942</v>
      </c>
      <c r="I43" s="102">
        <f t="shared" si="6"/>
        <v>0.31390863021844556</v>
      </c>
      <c r="J43" s="45"/>
      <c r="K43" s="110" t="s">
        <v>1</v>
      </c>
      <c r="Q43" s="111"/>
    </row>
    <row r="44" spans="1:23" ht="14" thickTop="1">
      <c r="A44" s="118" t="s">
        <v>149</v>
      </c>
      <c r="B44" s="29">
        <f>+Diurno!B42</f>
        <v>1064.25</v>
      </c>
      <c r="C44" s="115"/>
      <c r="D44" s="119"/>
      <c r="E44" s="119"/>
      <c r="F44" s="119"/>
      <c r="H44" s="119"/>
      <c r="I44" s="120"/>
      <c r="J44" s="45"/>
      <c r="K44" s="111"/>
      <c r="L44" s="123" t="s">
        <v>4</v>
      </c>
      <c r="P44" s="24">
        <f>H72</f>
        <v>709.19499999999994</v>
      </c>
      <c r="Q44" s="107">
        <f>P44/$P$49</f>
        <v>3.6072366216092583E-2</v>
      </c>
    </row>
    <row r="45" spans="1:23" ht="13">
      <c r="A45" s="14" t="s">
        <v>147</v>
      </c>
      <c r="B45" s="14" t="s">
        <v>140</v>
      </c>
      <c r="D45" s="14" t="s">
        <v>151</v>
      </c>
      <c r="E45" s="14" t="s">
        <v>152</v>
      </c>
      <c r="F45" s="14" t="s">
        <v>100</v>
      </c>
      <c r="H45" s="14" t="s">
        <v>74</v>
      </c>
      <c r="I45" s="14"/>
      <c r="J45" s="45"/>
      <c r="K45" s="111"/>
      <c r="L45" s="125" t="s">
        <v>73</v>
      </c>
      <c r="P45" s="24">
        <f>P33</f>
        <v>2638.5547934283213</v>
      </c>
      <c r="Q45" s="107">
        <f>P45/$P$49</f>
        <v>0.1342069738080118</v>
      </c>
    </row>
    <row r="46" spans="1:23" s="72" customFormat="1" ht="13">
      <c r="A46" s="20" t="s">
        <v>153</v>
      </c>
      <c r="B46" s="46">
        <v>0.11</v>
      </c>
      <c r="C46"/>
      <c r="D46" s="72" t="s">
        <v>154</v>
      </c>
      <c r="E46" s="72" t="s">
        <v>0</v>
      </c>
      <c r="F46" s="24">
        <f>IF((H34)&gt;5*B44,((5*B44)),(H34))</f>
        <v>5321.25</v>
      </c>
      <c r="G46"/>
      <c r="H46" s="24">
        <f>B46*F46</f>
        <v>585.33749999999998</v>
      </c>
      <c r="I46" s="25">
        <f>H46/$P$49</f>
        <v>2.9772500736767876E-2</v>
      </c>
      <c r="J46" s="127"/>
      <c r="K46"/>
      <c r="L46" s="111"/>
      <c r="M46"/>
      <c r="N46"/>
      <c r="O46"/>
      <c r="P46" s="111"/>
      <c r="Q46" s="111"/>
    </row>
    <row r="47" spans="1:23" s="113" customFormat="1" ht="15">
      <c r="A47" s="13" t="s">
        <v>2</v>
      </c>
      <c r="B47" s="46">
        <v>0.02</v>
      </c>
      <c r="C47"/>
      <c r="D47" s="72" t="s">
        <v>154</v>
      </c>
      <c r="E47" s="72" t="s">
        <v>3</v>
      </c>
      <c r="F47" s="122">
        <f>IF((H34)&gt;10*B44,((10*B44)),(H34))</f>
        <v>8222.3731911514278</v>
      </c>
      <c r="G47"/>
      <c r="H47" s="122">
        <f>F47*B47</f>
        <v>164.44746382302856</v>
      </c>
      <c r="I47" s="25">
        <f>H47/$P$49</f>
        <v>8.3644260581813516E-3</v>
      </c>
      <c r="J47" s="45"/>
      <c r="K47"/>
      <c r="L47" s="5" t="s">
        <v>9</v>
      </c>
      <c r="M47"/>
      <c r="P47" s="121">
        <f>SUM(P44:P46)</f>
        <v>3347.749793428321</v>
      </c>
      <c r="Q47"/>
      <c r="R47" s="130"/>
      <c r="S47" s="130"/>
      <c r="T47" s="130"/>
      <c r="U47" s="130"/>
      <c r="V47" s="130"/>
      <c r="W47" s="130"/>
    </row>
    <row r="48" spans="1:23" ht="13">
      <c r="A48" s="20" t="s">
        <v>5</v>
      </c>
      <c r="B48" s="124">
        <v>0.02</v>
      </c>
      <c r="D48" s="141" t="s">
        <v>7</v>
      </c>
      <c r="E48" s="89"/>
      <c r="F48" s="24">
        <f>+H34+H43</f>
        <v>14393.923725822322</v>
      </c>
      <c r="H48" s="24">
        <f>F48*B48</f>
        <v>287.87847451644643</v>
      </c>
      <c r="I48" s="25">
        <f>H48/$P$49</f>
        <v>1.4642598662550263E-2</v>
      </c>
      <c r="J48" s="45"/>
      <c r="K48" s="131"/>
      <c r="R48" s="111"/>
      <c r="S48" s="111"/>
      <c r="T48" s="111"/>
      <c r="U48" s="111"/>
      <c r="V48" s="111"/>
      <c r="W48" s="111"/>
    </row>
    <row r="49" spans="1:23" ht="15" thickBot="1">
      <c r="A49" s="20" t="s">
        <v>6</v>
      </c>
      <c r="B49" s="124">
        <v>0.02</v>
      </c>
      <c r="D49" s="141" t="s">
        <v>7</v>
      </c>
      <c r="E49" s="126"/>
      <c r="F49" s="24">
        <f>H33*365/(7*12)+H43</f>
        <v>14393.923725822322</v>
      </c>
      <c r="H49" s="122">
        <f>+F49*B49</f>
        <v>287.87847451644643</v>
      </c>
      <c r="I49" s="25">
        <f>H49/$P$49</f>
        <v>1.4642598662550263E-2</v>
      </c>
      <c r="J49" s="45"/>
      <c r="K49" s="131"/>
      <c r="L49" s="110" t="s">
        <v>17</v>
      </c>
      <c r="N49" s="5" t="s">
        <v>18</v>
      </c>
      <c r="P49" s="101">
        <f>P41+P47</f>
        <v>19660.340432106565</v>
      </c>
      <c r="Q49" s="107">
        <f>SUM(Q36:Q47)</f>
        <v>1</v>
      </c>
      <c r="R49" s="134"/>
      <c r="S49" s="135"/>
      <c r="T49" s="135"/>
      <c r="U49" s="135"/>
      <c r="V49" s="135"/>
      <c r="W49" s="135"/>
    </row>
    <row r="50" spans="1:23" ht="16" thickTop="1" thickBot="1">
      <c r="A50" s="20"/>
      <c r="B50" s="20"/>
      <c r="C50" s="128"/>
      <c r="D50" s="129"/>
      <c r="E50" s="100" t="s">
        <v>8</v>
      </c>
      <c r="F50" s="129"/>
      <c r="H50" s="116">
        <f>SUM(H46:H49)</f>
        <v>1325.5419128559213</v>
      </c>
      <c r="I50" s="102">
        <f>H50/$P$49</f>
        <v>6.7422124120049748E-2</v>
      </c>
      <c r="J50" s="45"/>
      <c r="K50" s="131"/>
      <c r="M50" s="142"/>
      <c r="N50" s="142"/>
      <c r="O50" s="142"/>
      <c r="R50" s="134"/>
      <c r="S50" s="135"/>
      <c r="T50" s="135"/>
      <c r="U50" s="135"/>
      <c r="V50" s="135"/>
      <c r="W50" s="135"/>
    </row>
    <row r="51" spans="1:23" ht="15" thickTop="1">
      <c r="A51" s="20"/>
      <c r="B51" s="20"/>
      <c r="C51" s="20"/>
      <c r="D51" s="20"/>
      <c r="I51" s="113"/>
      <c r="J51" s="45"/>
      <c r="K51" s="131"/>
      <c r="L51" s="143" t="s">
        <v>22</v>
      </c>
      <c r="N51" s="144">
        <f>+P49*12/52</f>
        <v>4537.001638178438</v>
      </c>
      <c r="P51" s="145"/>
      <c r="Q51" s="111"/>
      <c r="R51" s="134"/>
    </row>
    <row r="52" spans="1:23" ht="14.25">
      <c r="A52" s="132" t="s">
        <v>10</v>
      </c>
      <c r="B52" s="132" t="s">
        <v>11</v>
      </c>
      <c r="C52" s="132" t="s">
        <v>12</v>
      </c>
      <c r="D52" s="132" t="s">
        <v>13</v>
      </c>
      <c r="E52" s="132" t="s">
        <v>14</v>
      </c>
      <c r="F52" s="132" t="s">
        <v>15</v>
      </c>
      <c r="G52" s="132" t="s">
        <v>69</v>
      </c>
      <c r="H52" s="133" t="s">
        <v>16</v>
      </c>
      <c r="I52" s="141"/>
      <c r="J52" s="45"/>
      <c r="K52" s="131"/>
      <c r="L52" s="143" t="s">
        <v>24</v>
      </c>
      <c r="N52" s="144">
        <f>+N51/C33</f>
        <v>794.35719226210381</v>
      </c>
      <c r="O52" s="146">
        <f>+(N52/F7)-1</f>
        <v>11.556360065263245</v>
      </c>
      <c r="R52" s="134"/>
    </row>
    <row r="53" spans="1:23" ht="14.25">
      <c r="A53" s="136" t="s">
        <v>19</v>
      </c>
      <c r="B53" s="137" t="s">
        <v>11</v>
      </c>
      <c r="C53" s="138">
        <v>14</v>
      </c>
      <c r="D53" s="139">
        <v>1</v>
      </c>
      <c r="E53" s="137">
        <v>14.5</v>
      </c>
      <c r="F53" s="137">
        <v>1</v>
      </c>
      <c r="G53" s="140">
        <f t="shared" ref="G53:G71" si="7">+IF(C53="NA",0,CEILING(ROUND(($F$5)/F53,1),1)*C53)</f>
        <v>56</v>
      </c>
      <c r="H53" s="140">
        <f>+G53*E53*D53</f>
        <v>812</v>
      </c>
      <c r="I53" s="141"/>
      <c r="J53" s="45"/>
      <c r="K53" s="131"/>
      <c r="L53" s="163"/>
      <c r="M53" s="142"/>
      <c r="N53" s="30"/>
      <c r="O53" s="165"/>
      <c r="Q53" s="147"/>
      <c r="R53" s="134"/>
    </row>
    <row r="54" spans="1:23" ht="14.25">
      <c r="A54" s="136" t="s">
        <v>20</v>
      </c>
      <c r="B54" s="137" t="s">
        <v>21</v>
      </c>
      <c r="C54" s="138">
        <v>1</v>
      </c>
      <c r="D54" s="139">
        <v>1</v>
      </c>
      <c r="E54" s="137">
        <v>250</v>
      </c>
      <c r="F54" s="137">
        <v>4</v>
      </c>
      <c r="G54" s="140">
        <f t="shared" si="7"/>
        <v>1</v>
      </c>
      <c r="H54" s="140">
        <f t="shared" ref="H54:H71" si="8">+G54*E54*D54</f>
        <v>250</v>
      </c>
      <c r="I54" s="141"/>
      <c r="J54" s="45"/>
      <c r="K54" s="131"/>
      <c r="M54" s="148"/>
      <c r="N54" s="148"/>
      <c r="O54" s="165"/>
      <c r="P54" s="150"/>
      <c r="R54" s="134"/>
    </row>
    <row r="55" spans="1:23" ht="14.25">
      <c r="A55" s="136" t="s">
        <v>23</v>
      </c>
      <c r="B55" s="137" t="s">
        <v>11</v>
      </c>
      <c r="C55" s="138">
        <v>1</v>
      </c>
      <c r="D55" s="139">
        <v>0</v>
      </c>
      <c r="E55" s="137">
        <v>104</v>
      </c>
      <c r="F55" s="137">
        <v>12</v>
      </c>
      <c r="G55" s="140">
        <f t="shared" si="7"/>
        <v>1</v>
      </c>
      <c r="H55" s="140">
        <f t="shared" si="8"/>
        <v>0</v>
      </c>
      <c r="I55" s="141"/>
      <c r="J55" s="45"/>
      <c r="K55" s="131"/>
      <c r="L55" s="143"/>
      <c r="M55" s="151"/>
      <c r="N55" s="152"/>
      <c r="O55" s="72"/>
      <c r="P55" s="114"/>
      <c r="R55" s="134"/>
    </row>
    <row r="56" spans="1:23" ht="14.25">
      <c r="A56" s="136" t="s">
        <v>25</v>
      </c>
      <c r="B56" s="137" t="s">
        <v>11</v>
      </c>
      <c r="C56" s="138">
        <v>2</v>
      </c>
      <c r="D56" s="139">
        <v>1</v>
      </c>
      <c r="E56" s="137">
        <v>70</v>
      </c>
      <c r="F56" s="137">
        <v>6</v>
      </c>
      <c r="G56" s="140">
        <f t="shared" si="7"/>
        <v>2</v>
      </c>
      <c r="H56" s="140">
        <f t="shared" si="8"/>
        <v>140</v>
      </c>
      <c r="I56" s="141"/>
      <c r="J56" s="45"/>
      <c r="K56" s="131"/>
      <c r="L56" s="143"/>
      <c r="O56" s="153"/>
      <c r="P56" s="114"/>
      <c r="R56" s="134"/>
    </row>
    <row r="57" spans="1:23" ht="14.25">
      <c r="A57" s="136" t="s">
        <v>26</v>
      </c>
      <c r="B57" s="137" t="s">
        <v>11</v>
      </c>
      <c r="C57" s="138">
        <v>2</v>
      </c>
      <c r="D57" s="139">
        <v>1</v>
      </c>
      <c r="E57" s="137">
        <v>75</v>
      </c>
      <c r="F57" s="137">
        <v>6</v>
      </c>
      <c r="G57" s="140">
        <f t="shared" si="7"/>
        <v>2</v>
      </c>
      <c r="H57" s="140">
        <f t="shared" si="8"/>
        <v>150</v>
      </c>
      <c r="I57" s="141"/>
      <c r="J57" s="45"/>
      <c r="K57" s="131"/>
      <c r="O57" s="72"/>
      <c r="R57" s="134"/>
    </row>
    <row r="58" spans="1:23" ht="14.25">
      <c r="A58" s="136" t="s">
        <v>27</v>
      </c>
      <c r="B58" s="137" t="s">
        <v>11</v>
      </c>
      <c r="C58" s="138">
        <v>2</v>
      </c>
      <c r="D58" s="139">
        <v>1</v>
      </c>
      <c r="E58" s="137">
        <v>18</v>
      </c>
      <c r="F58" s="137">
        <v>1</v>
      </c>
      <c r="G58" s="140">
        <f t="shared" si="7"/>
        <v>8</v>
      </c>
      <c r="H58" s="140">
        <f t="shared" si="8"/>
        <v>144</v>
      </c>
      <c r="I58" s="141"/>
      <c r="J58" s="45"/>
      <c r="K58" s="131"/>
      <c r="L58" s="143"/>
      <c r="N58" s="145"/>
      <c r="O58" s="154"/>
      <c r="P58" s="114"/>
      <c r="R58" s="134"/>
    </row>
    <row r="59" spans="1:23" ht="14.25">
      <c r="A59" s="136" t="s">
        <v>28</v>
      </c>
      <c r="B59" s="137" t="s">
        <v>11</v>
      </c>
      <c r="C59" s="138">
        <v>1</v>
      </c>
      <c r="D59" s="139">
        <v>1</v>
      </c>
      <c r="E59" s="137">
        <v>45</v>
      </c>
      <c r="F59" s="137">
        <v>12</v>
      </c>
      <c r="G59" s="140">
        <f t="shared" si="7"/>
        <v>1</v>
      </c>
      <c r="H59" s="140">
        <f t="shared" si="8"/>
        <v>45</v>
      </c>
      <c r="I59" s="141"/>
      <c r="J59" s="45"/>
      <c r="K59" s="131"/>
      <c r="L59" s="143"/>
      <c r="O59" s="155"/>
      <c r="P59" s="114"/>
      <c r="R59" s="134"/>
    </row>
    <row r="60" spans="1:23" ht="14.25">
      <c r="A60" s="136" t="s">
        <v>29</v>
      </c>
      <c r="B60" s="137" t="s">
        <v>11</v>
      </c>
      <c r="C60" s="138">
        <v>1</v>
      </c>
      <c r="D60" s="139">
        <v>1</v>
      </c>
      <c r="E60" s="137">
        <v>45</v>
      </c>
      <c r="F60" s="137">
        <v>12</v>
      </c>
      <c r="G60" s="140">
        <f t="shared" si="7"/>
        <v>1</v>
      </c>
      <c r="H60" s="140">
        <f t="shared" si="8"/>
        <v>45</v>
      </c>
      <c r="I60" s="141"/>
      <c r="J60" s="6"/>
      <c r="K60" s="131"/>
      <c r="L60" s="143"/>
      <c r="O60" s="155"/>
      <c r="P60" s="114"/>
      <c r="R60" s="134"/>
    </row>
    <row r="61" spans="1:23" s="142" customFormat="1" ht="14.25">
      <c r="A61" s="136" t="s">
        <v>30</v>
      </c>
      <c r="B61" s="137" t="s">
        <v>11</v>
      </c>
      <c r="C61" s="138">
        <v>2</v>
      </c>
      <c r="D61" s="139">
        <v>0</v>
      </c>
      <c r="E61" s="137">
        <v>250</v>
      </c>
      <c r="F61" s="137">
        <v>12</v>
      </c>
      <c r="G61" s="140">
        <f t="shared" si="7"/>
        <v>2</v>
      </c>
      <c r="H61" s="140">
        <f t="shared" si="8"/>
        <v>0</v>
      </c>
      <c r="I61" s="141"/>
      <c r="J61" s="6"/>
      <c r="K61" s="131"/>
      <c r="L61" s="156"/>
      <c r="P61" s="157"/>
      <c r="R61" s="158"/>
    </row>
    <row r="62" spans="1:23" ht="14.25">
      <c r="A62" s="136" t="s">
        <v>31</v>
      </c>
      <c r="B62" s="137" t="s">
        <v>11</v>
      </c>
      <c r="C62" s="138">
        <v>1</v>
      </c>
      <c r="D62" s="139">
        <v>0</v>
      </c>
      <c r="E62" s="137">
        <v>400</v>
      </c>
      <c r="F62" s="137">
        <v>12</v>
      </c>
      <c r="G62" s="140">
        <f t="shared" si="7"/>
        <v>1</v>
      </c>
      <c r="H62" s="140">
        <f t="shared" si="8"/>
        <v>0</v>
      </c>
      <c r="I62" s="141"/>
      <c r="J62" s="6"/>
      <c r="L62" s="134"/>
    </row>
    <row r="63" spans="1:23" ht="14.25">
      <c r="A63" s="136" t="s">
        <v>32</v>
      </c>
      <c r="B63" s="137" t="s">
        <v>11</v>
      </c>
      <c r="C63" s="138">
        <f>6*4.33</f>
        <v>25.98</v>
      </c>
      <c r="D63" s="139">
        <v>1</v>
      </c>
      <c r="E63" s="137">
        <v>9</v>
      </c>
      <c r="F63" s="137">
        <v>1</v>
      </c>
      <c r="G63" s="140">
        <f t="shared" si="7"/>
        <v>103.92</v>
      </c>
      <c r="H63" s="140">
        <f t="shared" si="8"/>
        <v>935.28</v>
      </c>
      <c r="I63" s="141"/>
      <c r="J63" s="6"/>
      <c r="L63" s="134"/>
    </row>
    <row r="64" spans="1:23" ht="14.25">
      <c r="A64" s="136" t="s">
        <v>33</v>
      </c>
      <c r="B64" s="137" t="s">
        <v>11</v>
      </c>
      <c r="C64" s="138">
        <v>8</v>
      </c>
      <c r="D64" s="139">
        <v>0.1</v>
      </c>
      <c r="E64" s="137">
        <v>45</v>
      </c>
      <c r="F64" s="137">
        <v>1</v>
      </c>
      <c r="G64" s="140">
        <f t="shared" si="7"/>
        <v>32</v>
      </c>
      <c r="H64" s="140">
        <f t="shared" si="8"/>
        <v>144</v>
      </c>
      <c r="I64" s="141"/>
      <c r="J64" s="6"/>
      <c r="L64" s="134"/>
    </row>
    <row r="65" spans="1:12" ht="14.25">
      <c r="A65" s="136" t="s">
        <v>34</v>
      </c>
      <c r="B65" s="137" t="s">
        <v>11</v>
      </c>
      <c r="C65" s="138">
        <v>5</v>
      </c>
      <c r="D65" s="139">
        <v>0.1</v>
      </c>
      <c r="E65" s="137">
        <v>45</v>
      </c>
      <c r="F65" s="137">
        <v>1</v>
      </c>
      <c r="G65" s="140">
        <f t="shared" si="7"/>
        <v>20</v>
      </c>
      <c r="H65" s="140">
        <f t="shared" si="8"/>
        <v>90</v>
      </c>
      <c r="I65" s="141"/>
      <c r="J65" s="6"/>
      <c r="K65" s="134"/>
      <c r="L65" s="134"/>
    </row>
    <row r="66" spans="1:12" ht="14.25">
      <c r="A66" s="136" t="s">
        <v>35</v>
      </c>
      <c r="B66" s="137" t="s">
        <v>11</v>
      </c>
      <c r="C66" s="138">
        <v>1</v>
      </c>
      <c r="D66" s="139">
        <v>0.1</v>
      </c>
      <c r="E66" s="137">
        <v>160</v>
      </c>
      <c r="F66" s="137">
        <v>3</v>
      </c>
      <c r="G66" s="140">
        <f t="shared" si="7"/>
        <v>2</v>
      </c>
      <c r="H66" s="140">
        <f t="shared" si="8"/>
        <v>32</v>
      </c>
      <c r="I66" s="141"/>
      <c r="J66" s="6"/>
      <c r="K66" s="134"/>
      <c r="L66" s="134"/>
    </row>
    <row r="67" spans="1:12" ht="14.25">
      <c r="A67" s="136" t="s">
        <v>36</v>
      </c>
      <c r="B67" s="137" t="s">
        <v>11</v>
      </c>
      <c r="C67" s="138">
        <v>1</v>
      </c>
      <c r="D67" s="139">
        <v>0.1</v>
      </c>
      <c r="E67" s="137">
        <v>90</v>
      </c>
      <c r="F67" s="137">
        <v>6</v>
      </c>
      <c r="G67" s="140">
        <f t="shared" si="7"/>
        <v>1</v>
      </c>
      <c r="H67" s="140">
        <f t="shared" si="8"/>
        <v>9</v>
      </c>
      <c r="I67" s="141"/>
      <c r="J67" s="6"/>
      <c r="K67" s="134"/>
      <c r="L67" s="134"/>
    </row>
    <row r="68" spans="1:12" ht="14.25">
      <c r="A68" s="136" t="s">
        <v>37</v>
      </c>
      <c r="B68" s="137" t="s">
        <v>11</v>
      </c>
      <c r="C68" s="138">
        <v>1</v>
      </c>
      <c r="D68" s="139">
        <v>0.1</v>
      </c>
      <c r="E68" s="137">
        <v>195</v>
      </c>
      <c r="F68" s="137">
        <v>6</v>
      </c>
      <c r="G68" s="140">
        <f t="shared" si="7"/>
        <v>1</v>
      </c>
      <c r="H68" s="140">
        <f t="shared" si="8"/>
        <v>19.5</v>
      </c>
      <c r="I68" s="141"/>
      <c r="J68" s="6"/>
      <c r="K68" s="134"/>
      <c r="L68" s="134"/>
    </row>
    <row r="69" spans="1:12" ht="13">
      <c r="A69" s="136" t="s">
        <v>38</v>
      </c>
      <c r="B69" s="137" t="s">
        <v>11</v>
      </c>
      <c r="C69" s="138">
        <v>0</v>
      </c>
      <c r="D69" s="139">
        <v>0.1</v>
      </c>
      <c r="E69" s="137">
        <v>80</v>
      </c>
      <c r="F69" s="137">
        <v>6</v>
      </c>
      <c r="G69" s="140">
        <f t="shared" si="7"/>
        <v>0</v>
      </c>
      <c r="H69" s="140">
        <f t="shared" si="8"/>
        <v>0</v>
      </c>
      <c r="I69" s="141"/>
    </row>
    <row r="70" spans="1:12" ht="13">
      <c r="A70" s="136" t="s">
        <v>39</v>
      </c>
      <c r="B70" s="137" t="s">
        <v>11</v>
      </c>
      <c r="C70" s="138">
        <v>1</v>
      </c>
      <c r="D70" s="139">
        <v>0.1</v>
      </c>
      <c r="E70" s="137">
        <v>15</v>
      </c>
      <c r="F70" s="137">
        <v>2</v>
      </c>
      <c r="G70" s="140">
        <f t="shared" si="7"/>
        <v>2</v>
      </c>
      <c r="H70" s="140">
        <f t="shared" si="8"/>
        <v>3</v>
      </c>
      <c r="I70" s="141"/>
    </row>
    <row r="71" spans="1:12" ht="13">
      <c r="A71" s="136" t="s">
        <v>40</v>
      </c>
      <c r="B71" s="137" t="s">
        <v>11</v>
      </c>
      <c r="C71" s="138">
        <v>1</v>
      </c>
      <c r="D71" s="139">
        <v>0.1</v>
      </c>
      <c r="E71" s="137">
        <v>45</v>
      </c>
      <c r="F71" s="137">
        <v>1</v>
      </c>
      <c r="G71" s="140">
        <f t="shared" si="7"/>
        <v>4</v>
      </c>
      <c r="H71" s="140">
        <f t="shared" si="8"/>
        <v>18</v>
      </c>
      <c r="I71" s="141"/>
    </row>
    <row r="72" spans="1:12" ht="14" thickBot="1">
      <c r="A72" s="159"/>
      <c r="B72" s="142"/>
      <c r="C72" s="142"/>
      <c r="D72" s="142"/>
      <c r="E72" s="161" t="s">
        <v>41</v>
      </c>
      <c r="G72" s="161" t="s">
        <v>42</v>
      </c>
      <c r="H72" s="116">
        <f>SUM(H53:H71)/F5</f>
        <v>709.19499999999994</v>
      </c>
      <c r="I72" s="102">
        <f>H72/$P$49</f>
        <v>3.6072366216092583E-2</v>
      </c>
    </row>
    <row r="73" spans="1:12" ht="15" thickTop="1" thickBot="1">
      <c r="A73" s="159"/>
      <c r="B73" s="142"/>
      <c r="C73" s="160"/>
      <c r="D73" s="129"/>
      <c r="E73" s="142"/>
      <c r="F73" s="142"/>
      <c r="G73" s="142"/>
      <c r="H73" s="142"/>
      <c r="I73" s="141"/>
    </row>
    <row r="74" spans="1:12" ht="13.5" thickTop="1">
      <c r="A74" s="159"/>
      <c r="B74" s="142"/>
      <c r="C74" s="142"/>
      <c r="D74" s="142"/>
    </row>
    <row r="89" spans="1:9">
      <c r="E89" s="142"/>
      <c r="F89" s="142"/>
      <c r="G89" s="142"/>
      <c r="H89" s="142"/>
      <c r="I89" s="141"/>
    </row>
    <row r="90" spans="1:9">
      <c r="A90" s="142"/>
      <c r="B90" s="142"/>
      <c r="C90" s="142"/>
      <c r="D90" s="142"/>
      <c r="E90" s="142"/>
      <c r="F90" s="142"/>
      <c r="G90" s="142"/>
      <c r="H90" s="142"/>
      <c r="I90" s="141"/>
    </row>
    <row r="91" spans="1:9">
      <c r="A91" s="142"/>
      <c r="B91" s="142"/>
      <c r="C91" s="142"/>
      <c r="D91" s="142"/>
      <c r="E91" s="142"/>
      <c r="F91" s="142"/>
      <c r="G91" s="142"/>
      <c r="H91" s="142"/>
      <c r="I91" s="141"/>
    </row>
    <row r="92" spans="1:9">
      <c r="A92" s="142"/>
      <c r="B92" s="142"/>
      <c r="C92" s="142"/>
      <c r="D92" s="142"/>
      <c r="E92" s="142"/>
      <c r="F92" s="142"/>
      <c r="G92" s="142"/>
      <c r="H92" s="142"/>
      <c r="I92" s="141"/>
    </row>
    <row r="93" spans="1:9">
      <c r="A93" s="142"/>
      <c r="B93" s="142"/>
      <c r="C93" s="142"/>
      <c r="D93" s="142"/>
      <c r="E93" s="142"/>
      <c r="F93" s="142"/>
      <c r="G93" s="142"/>
      <c r="H93" s="142"/>
      <c r="I93" s="141"/>
    </row>
    <row r="94" spans="1:9">
      <c r="A94" s="142"/>
      <c r="B94" s="142"/>
      <c r="C94" s="142"/>
      <c r="D94" s="142"/>
      <c r="E94" s="142"/>
      <c r="F94" s="142"/>
      <c r="G94" s="142"/>
      <c r="H94" s="142"/>
      <c r="I94" s="141"/>
    </row>
    <row r="95" spans="1:9">
      <c r="A95" s="142"/>
      <c r="B95" s="142"/>
      <c r="C95" s="142"/>
      <c r="D95" s="142"/>
      <c r="E95" s="142"/>
      <c r="F95" s="142"/>
      <c r="G95" s="142"/>
      <c r="H95" s="142"/>
      <c r="I95" s="141"/>
    </row>
    <row r="96" spans="1:9">
      <c r="A96" s="142"/>
      <c r="B96" s="142"/>
      <c r="C96" s="142"/>
      <c r="D96" s="142"/>
      <c r="E96" s="142"/>
      <c r="F96" s="142"/>
      <c r="G96" s="142"/>
      <c r="H96" s="142"/>
      <c r="I96" s="141"/>
    </row>
    <row r="97" spans="1:9">
      <c r="A97" s="142"/>
      <c r="B97" s="142"/>
      <c r="C97" s="142"/>
      <c r="D97" s="142"/>
      <c r="E97" s="142"/>
      <c r="F97" s="142"/>
      <c r="G97" s="142"/>
      <c r="H97" s="142"/>
      <c r="I97" s="141"/>
    </row>
    <row r="98" spans="1:9">
      <c r="A98" s="142"/>
      <c r="B98" s="142"/>
      <c r="C98" s="142"/>
      <c r="D98" s="142"/>
      <c r="E98" s="142"/>
      <c r="F98" s="142"/>
      <c r="G98" s="142"/>
      <c r="H98" s="142"/>
      <c r="I98" s="141"/>
    </row>
    <row r="99" spans="1:9">
      <c r="A99" s="142"/>
      <c r="B99" s="142"/>
      <c r="C99" s="142"/>
      <c r="D99" s="142"/>
      <c r="E99" s="142"/>
      <c r="F99" s="142"/>
      <c r="G99" s="142"/>
      <c r="H99" s="142"/>
      <c r="I99" s="141"/>
    </row>
    <row r="100" spans="1:9">
      <c r="A100" s="142"/>
      <c r="B100" s="142"/>
      <c r="C100" s="142"/>
      <c r="D100" s="142"/>
      <c r="E100" s="142"/>
      <c r="F100" s="142"/>
      <c r="G100" s="142"/>
      <c r="H100" s="142"/>
      <c r="I100" s="141"/>
    </row>
    <row r="101" spans="1:9">
      <c r="A101" s="142"/>
      <c r="B101" s="142"/>
      <c r="C101" s="142"/>
      <c r="D101" s="142"/>
      <c r="E101" s="142"/>
      <c r="F101" s="142"/>
      <c r="G101" s="142"/>
      <c r="H101" s="142"/>
      <c r="I101" s="141"/>
    </row>
    <row r="102" spans="1:9">
      <c r="A102" s="142"/>
      <c r="B102" s="142"/>
      <c r="C102" s="142"/>
      <c r="D102" s="142"/>
      <c r="E102" s="142"/>
      <c r="F102" s="142"/>
      <c r="G102" s="142"/>
      <c r="H102" s="142"/>
      <c r="I102" s="141"/>
    </row>
    <row r="103" spans="1:9">
      <c r="A103" s="142"/>
      <c r="B103" s="142"/>
      <c r="C103" s="142"/>
      <c r="D103" s="142"/>
      <c r="E103" s="142"/>
      <c r="F103" s="142"/>
      <c r="G103" s="142"/>
      <c r="H103" s="142"/>
      <c r="I103" s="141"/>
    </row>
    <row r="104" spans="1:9">
      <c r="A104" s="142"/>
      <c r="B104" s="142"/>
      <c r="C104" s="142"/>
      <c r="D104" s="142"/>
      <c r="E104" s="142"/>
      <c r="F104" s="142"/>
      <c r="G104" s="142"/>
      <c r="H104" s="142"/>
      <c r="I104" s="141"/>
    </row>
    <row r="105" spans="1:9">
      <c r="A105" s="142"/>
      <c r="B105" s="142"/>
      <c r="C105" s="142"/>
      <c r="D105" s="142"/>
      <c r="E105" s="142"/>
      <c r="F105" s="142"/>
      <c r="G105" s="142"/>
      <c r="H105" s="142"/>
      <c r="I105" s="141"/>
    </row>
    <row r="106" spans="1:9">
      <c r="A106" s="142"/>
      <c r="B106" s="142"/>
      <c r="C106" s="142"/>
      <c r="D106" s="142"/>
      <c r="E106" s="142"/>
      <c r="F106" s="142"/>
      <c r="G106" s="142"/>
      <c r="H106" s="142"/>
      <c r="I106" s="141"/>
    </row>
    <row r="107" spans="1:9">
      <c r="A107" s="142"/>
      <c r="B107" s="142"/>
      <c r="C107" s="142"/>
      <c r="D107" s="142"/>
      <c r="E107" s="142"/>
      <c r="F107" s="142"/>
      <c r="G107" s="142"/>
      <c r="H107" s="142"/>
      <c r="I107" s="141"/>
    </row>
    <row r="108" spans="1:9">
      <c r="A108" s="142"/>
      <c r="B108" s="142"/>
      <c r="C108" s="142"/>
      <c r="D108" s="142"/>
      <c r="E108" s="142"/>
      <c r="F108" s="142"/>
      <c r="G108" s="142"/>
      <c r="H108" s="142"/>
      <c r="I108" s="141"/>
    </row>
    <row r="109" spans="1:9">
      <c r="A109" s="142"/>
      <c r="B109" s="142"/>
      <c r="C109" s="142"/>
      <c r="D109" s="142"/>
      <c r="E109" s="142"/>
      <c r="F109" s="142"/>
      <c r="G109" s="142"/>
      <c r="H109" s="142"/>
      <c r="I109" s="141"/>
    </row>
    <row r="110" spans="1:9">
      <c r="A110" s="142"/>
      <c r="B110" s="142"/>
      <c r="C110" s="142"/>
      <c r="D110" s="142"/>
      <c r="E110" s="142"/>
      <c r="F110" s="142"/>
      <c r="G110" s="142"/>
      <c r="H110" s="142"/>
      <c r="I110" s="141"/>
    </row>
    <row r="111" spans="1:9">
      <c r="A111" s="142"/>
      <c r="B111" s="142"/>
      <c r="C111" s="142"/>
      <c r="D111" s="142"/>
      <c r="E111" s="142"/>
      <c r="F111" s="142"/>
      <c r="G111" s="142"/>
      <c r="H111" s="142"/>
      <c r="I111" s="141"/>
    </row>
    <row r="112" spans="1:9">
      <c r="A112" s="142"/>
      <c r="B112" s="142"/>
      <c r="C112" s="142"/>
      <c r="D112" s="142"/>
      <c r="E112" s="142"/>
      <c r="F112" s="142"/>
      <c r="G112" s="142"/>
      <c r="H112" s="142"/>
      <c r="I112" s="141"/>
    </row>
    <row r="113" spans="1:9">
      <c r="A113" s="142"/>
      <c r="B113" s="142"/>
      <c r="C113" s="142"/>
      <c r="D113" s="142"/>
      <c r="E113" s="142"/>
      <c r="F113" s="142"/>
      <c r="G113" s="142"/>
      <c r="H113" s="142"/>
      <c r="I113" s="141"/>
    </row>
    <row r="114" spans="1:9">
      <c r="A114" s="142"/>
      <c r="B114" s="142"/>
      <c r="C114" s="142"/>
      <c r="D114" s="142"/>
      <c r="E114" s="142"/>
      <c r="F114" s="142"/>
      <c r="G114" s="142"/>
      <c r="H114" s="142"/>
      <c r="I114" s="141"/>
    </row>
    <row r="115" spans="1:9">
      <c r="A115" s="142"/>
      <c r="B115" s="142"/>
      <c r="C115" s="142"/>
      <c r="D115" s="142"/>
      <c r="E115" s="142"/>
      <c r="F115" s="142"/>
      <c r="G115" s="142"/>
      <c r="H115" s="142"/>
      <c r="I115" s="141"/>
    </row>
    <row r="116" spans="1:9">
      <c r="A116" s="142"/>
      <c r="B116" s="142"/>
      <c r="C116" s="142"/>
      <c r="D116" s="142"/>
      <c r="E116" s="142"/>
      <c r="F116" s="142"/>
      <c r="G116" s="142"/>
      <c r="H116" s="142"/>
      <c r="I116" s="141"/>
    </row>
    <row r="117" spans="1:9">
      <c r="A117" s="142"/>
      <c r="B117" s="142"/>
      <c r="C117" s="142"/>
      <c r="D117" s="142"/>
      <c r="E117" s="142"/>
      <c r="F117" s="142"/>
      <c r="G117" s="142"/>
      <c r="H117" s="142"/>
      <c r="I117" s="141"/>
    </row>
    <row r="118" spans="1:9">
      <c r="A118" s="142"/>
      <c r="B118" s="142"/>
      <c r="C118" s="142"/>
      <c r="D118" s="142"/>
      <c r="E118" s="142"/>
      <c r="F118" s="142"/>
      <c r="G118" s="142"/>
      <c r="H118" s="142"/>
      <c r="I118" s="141"/>
    </row>
    <row r="119" spans="1:9">
      <c r="A119" s="142"/>
      <c r="B119" s="142"/>
      <c r="C119" s="142"/>
      <c r="D119" s="142"/>
      <c r="E119" s="142"/>
      <c r="F119" s="142"/>
      <c r="G119" s="142"/>
      <c r="H119" s="142"/>
      <c r="I119" s="141"/>
    </row>
    <row r="120" spans="1:9">
      <c r="A120" s="142"/>
      <c r="B120" s="142"/>
      <c r="C120" s="142"/>
      <c r="D120" s="142"/>
      <c r="E120" s="142"/>
      <c r="F120" s="142"/>
      <c r="G120" s="142"/>
      <c r="H120" s="142"/>
      <c r="I120" s="141"/>
    </row>
    <row r="121" spans="1:9">
      <c r="A121" s="142"/>
      <c r="B121" s="142"/>
      <c r="C121" s="142"/>
      <c r="D121" s="142"/>
      <c r="E121" s="142"/>
      <c r="F121" s="142"/>
      <c r="G121" s="142"/>
      <c r="H121" s="142"/>
      <c r="I121" s="141"/>
    </row>
    <row r="122" spans="1:9">
      <c r="A122" s="142"/>
      <c r="B122" s="142"/>
      <c r="C122" s="142"/>
      <c r="D122" s="142"/>
      <c r="E122" s="142"/>
      <c r="F122" s="142"/>
      <c r="G122" s="142"/>
      <c r="H122" s="142"/>
      <c r="I122" s="141"/>
    </row>
    <row r="123" spans="1:9">
      <c r="A123" s="142"/>
      <c r="B123" s="142"/>
      <c r="C123" s="142"/>
      <c r="D123" s="142"/>
      <c r="E123" s="142"/>
      <c r="F123" s="142"/>
      <c r="G123" s="142"/>
      <c r="H123" s="142"/>
      <c r="I123" s="141"/>
    </row>
    <row r="124" spans="1:9">
      <c r="A124" s="142"/>
      <c r="B124" s="142"/>
      <c r="C124" s="142"/>
      <c r="D124" s="142"/>
      <c r="E124" s="142"/>
      <c r="F124" s="142"/>
      <c r="G124" s="142"/>
      <c r="H124" s="142"/>
      <c r="I124" s="141"/>
    </row>
    <row r="125" spans="1:9">
      <c r="A125" s="142"/>
      <c r="B125" s="142"/>
      <c r="C125" s="142"/>
      <c r="D125" s="142"/>
      <c r="E125" s="142"/>
      <c r="F125" s="142"/>
      <c r="G125" s="142"/>
      <c r="H125" s="142"/>
      <c r="I125" s="141"/>
    </row>
    <row r="126" spans="1:9">
      <c r="A126" s="142"/>
      <c r="B126" s="142"/>
      <c r="C126" s="142"/>
      <c r="D126" s="142"/>
      <c r="E126" s="142"/>
      <c r="F126" s="142"/>
      <c r="G126" s="142"/>
      <c r="H126" s="142"/>
      <c r="I126" s="141"/>
    </row>
    <row r="127" spans="1:9">
      <c r="A127" s="142"/>
      <c r="B127" s="142"/>
      <c r="C127" s="142"/>
      <c r="D127" s="142"/>
      <c r="E127" s="142"/>
      <c r="F127" s="142"/>
      <c r="G127" s="142"/>
      <c r="H127" s="142"/>
      <c r="I127" s="141"/>
    </row>
    <row r="128" spans="1:9">
      <c r="A128" s="142"/>
      <c r="B128" s="142"/>
      <c r="C128" s="142"/>
      <c r="D128" s="142"/>
      <c r="E128" s="142"/>
      <c r="F128" s="142"/>
      <c r="G128" s="142"/>
      <c r="H128" s="142"/>
      <c r="I128" s="141"/>
    </row>
    <row r="129" spans="1:9">
      <c r="A129" s="142"/>
      <c r="B129" s="142"/>
      <c r="C129" s="142"/>
      <c r="D129" s="142"/>
      <c r="E129" s="142"/>
      <c r="F129" s="142"/>
      <c r="G129" s="142"/>
      <c r="H129" s="142"/>
      <c r="I129" s="141"/>
    </row>
    <row r="130" spans="1:9">
      <c r="A130" s="142"/>
      <c r="B130" s="142"/>
      <c r="C130" s="142"/>
      <c r="D130" s="142"/>
      <c r="E130" s="142"/>
      <c r="F130" s="142"/>
      <c r="G130" s="142"/>
      <c r="H130" s="142"/>
      <c r="I130" s="141"/>
    </row>
    <row r="131" spans="1:9">
      <c r="A131" s="142"/>
      <c r="B131" s="142"/>
      <c r="C131" s="142"/>
      <c r="D131" s="142"/>
      <c r="E131" s="142"/>
      <c r="F131" s="142"/>
      <c r="G131" s="142"/>
      <c r="H131" s="142"/>
      <c r="I131" s="141"/>
    </row>
    <row r="132" spans="1:9">
      <c r="A132" s="142"/>
      <c r="B132" s="142"/>
      <c r="C132" s="142"/>
      <c r="D132" s="142"/>
      <c r="E132" s="142"/>
      <c r="F132" s="142"/>
      <c r="G132" s="142"/>
      <c r="H132" s="142"/>
      <c r="I132" s="141"/>
    </row>
    <row r="133" spans="1:9">
      <c r="A133" s="142"/>
      <c r="B133" s="142"/>
      <c r="C133" s="142"/>
      <c r="D133" s="142"/>
      <c r="E133" s="142"/>
      <c r="F133" s="142"/>
      <c r="G133" s="142"/>
      <c r="H133" s="142"/>
      <c r="I133" s="141"/>
    </row>
    <row r="134" spans="1:9">
      <c r="A134" s="142"/>
      <c r="B134" s="142"/>
      <c r="C134" s="142"/>
      <c r="D134" s="142"/>
      <c r="E134" s="142"/>
      <c r="F134" s="142"/>
      <c r="G134" s="142"/>
      <c r="H134" s="142"/>
      <c r="I134" s="141"/>
    </row>
    <row r="135" spans="1:9">
      <c r="A135" s="142"/>
      <c r="B135" s="142"/>
      <c r="C135" s="142"/>
      <c r="D135" s="142"/>
      <c r="E135" s="142"/>
      <c r="F135" s="142"/>
      <c r="G135" s="142"/>
      <c r="H135" s="142"/>
      <c r="I135" s="141"/>
    </row>
    <row r="136" spans="1:9">
      <c r="A136" s="142"/>
      <c r="B136" s="142"/>
      <c r="C136" s="142"/>
      <c r="D136" s="142"/>
      <c r="E136" s="142"/>
      <c r="F136" s="142"/>
      <c r="G136" s="142"/>
      <c r="H136" s="142"/>
      <c r="I136" s="141"/>
    </row>
    <row r="137" spans="1:9">
      <c r="A137" s="142"/>
      <c r="B137" s="142"/>
      <c r="C137" s="142"/>
      <c r="D137" s="142"/>
      <c r="E137" s="142"/>
      <c r="F137" s="142"/>
      <c r="G137" s="142"/>
      <c r="H137" s="142"/>
      <c r="I137" s="141"/>
    </row>
    <row r="138" spans="1:9">
      <c r="A138" s="142"/>
      <c r="B138" s="142"/>
      <c r="C138" s="142"/>
      <c r="D138" s="142"/>
      <c r="E138" s="142"/>
      <c r="F138" s="142"/>
      <c r="G138" s="142"/>
      <c r="H138" s="142"/>
      <c r="I138" s="141"/>
    </row>
    <row r="139" spans="1:9">
      <c r="A139" s="142"/>
      <c r="B139" s="142"/>
      <c r="C139" s="142"/>
      <c r="D139" s="142"/>
      <c r="E139" s="142"/>
      <c r="F139" s="142"/>
      <c r="G139" s="142"/>
      <c r="H139" s="142"/>
      <c r="I139" s="141"/>
    </row>
    <row r="140" spans="1:9">
      <c r="A140" s="142"/>
      <c r="B140" s="142"/>
      <c r="C140" s="142"/>
      <c r="D140" s="142"/>
      <c r="E140" s="142"/>
      <c r="F140" s="142"/>
      <c r="G140" s="142"/>
      <c r="H140" s="142"/>
      <c r="I140" s="141"/>
    </row>
    <row r="141" spans="1:9">
      <c r="A141" s="142"/>
      <c r="B141" s="142"/>
      <c r="C141" s="142"/>
      <c r="D141" s="142"/>
      <c r="E141" s="142"/>
      <c r="F141" s="142"/>
      <c r="G141" s="142"/>
      <c r="H141" s="142"/>
      <c r="I141" s="141"/>
    </row>
    <row r="142" spans="1:9">
      <c r="A142" s="142"/>
      <c r="B142" s="142"/>
      <c r="C142" s="142"/>
      <c r="D142" s="142"/>
      <c r="E142" s="142"/>
      <c r="F142" s="142"/>
      <c r="G142" s="142"/>
      <c r="H142" s="142"/>
      <c r="I142" s="141"/>
    </row>
    <row r="143" spans="1:9">
      <c r="A143" s="142"/>
      <c r="B143" s="142"/>
      <c r="C143" s="142"/>
      <c r="D143" s="142"/>
      <c r="E143" s="142"/>
      <c r="F143" s="142"/>
      <c r="G143" s="142"/>
      <c r="H143" s="142"/>
      <c r="I143" s="141"/>
    </row>
    <row r="144" spans="1:9">
      <c r="A144" s="142"/>
      <c r="B144" s="142"/>
      <c r="C144" s="142"/>
      <c r="D144" s="142"/>
      <c r="E144" s="142"/>
      <c r="F144" s="142"/>
      <c r="G144" s="142"/>
      <c r="H144" s="142"/>
      <c r="I144" s="141"/>
    </row>
    <row r="145" spans="1:9">
      <c r="A145" s="142"/>
      <c r="B145" s="142"/>
      <c r="C145" s="142"/>
      <c r="D145" s="142"/>
      <c r="E145" s="142"/>
      <c r="F145" s="142"/>
      <c r="G145" s="142"/>
      <c r="H145" s="142"/>
      <c r="I145" s="141"/>
    </row>
    <row r="146" spans="1:9">
      <c r="A146" s="142"/>
      <c r="B146" s="142"/>
      <c r="C146" s="142"/>
      <c r="D146" s="142"/>
      <c r="E146" s="142"/>
      <c r="F146" s="142"/>
      <c r="G146" s="142"/>
      <c r="H146" s="142"/>
      <c r="I146" s="141"/>
    </row>
    <row r="147" spans="1:9">
      <c r="A147" s="142"/>
      <c r="B147" s="142"/>
      <c r="C147" s="142"/>
      <c r="D147" s="142"/>
      <c r="E147" s="142"/>
      <c r="F147" s="142"/>
      <c r="G147" s="142"/>
      <c r="H147" s="142"/>
      <c r="I147" s="141"/>
    </row>
    <row r="148" spans="1:9">
      <c r="A148" s="142"/>
      <c r="B148" s="142"/>
      <c r="C148" s="142"/>
      <c r="D148" s="142"/>
      <c r="E148" s="142"/>
      <c r="F148" s="142"/>
      <c r="G148" s="142"/>
      <c r="H148" s="142"/>
      <c r="I148" s="141"/>
    </row>
    <row r="149" spans="1:9">
      <c r="A149" s="142"/>
      <c r="B149" s="142"/>
      <c r="C149" s="142"/>
      <c r="D149" s="142"/>
      <c r="E149" s="142"/>
      <c r="F149" s="142"/>
      <c r="G149" s="142"/>
      <c r="H149" s="142"/>
      <c r="I149" s="141"/>
    </row>
    <row r="150" spans="1:9">
      <c r="A150" s="142"/>
      <c r="B150" s="142"/>
      <c r="C150" s="142"/>
      <c r="D150" s="142"/>
      <c r="E150" s="142"/>
      <c r="F150" s="142"/>
      <c r="G150" s="142"/>
      <c r="H150" s="142"/>
      <c r="I150" s="141"/>
    </row>
    <row r="151" spans="1:9">
      <c r="A151" s="142"/>
      <c r="B151" s="142"/>
      <c r="C151" s="142"/>
      <c r="D151" s="142"/>
      <c r="E151" s="142"/>
      <c r="F151" s="142"/>
      <c r="G151" s="142"/>
      <c r="H151" s="142"/>
      <c r="I151" s="141"/>
    </row>
    <row r="152" spans="1:9">
      <c r="A152" s="142"/>
      <c r="B152" s="142"/>
      <c r="C152" s="142"/>
      <c r="D152" s="142"/>
      <c r="E152" s="142"/>
      <c r="F152" s="142"/>
      <c r="G152" s="142"/>
      <c r="H152" s="142"/>
      <c r="I152" s="141"/>
    </row>
    <row r="153" spans="1:9">
      <c r="A153" s="142"/>
      <c r="B153" s="142"/>
      <c r="C153" s="142"/>
      <c r="D153" s="142"/>
      <c r="E153" s="142"/>
      <c r="F153" s="142"/>
      <c r="G153" s="142"/>
      <c r="H153" s="142"/>
      <c r="I153" s="141"/>
    </row>
    <row r="154" spans="1:9">
      <c r="A154" s="142"/>
      <c r="B154" s="142"/>
      <c r="C154" s="142"/>
      <c r="D154" s="142"/>
      <c r="E154" s="142"/>
      <c r="F154" s="142"/>
      <c r="G154" s="142"/>
      <c r="H154" s="142"/>
      <c r="I154" s="141"/>
    </row>
    <row r="155" spans="1:9">
      <c r="A155" s="142"/>
      <c r="B155" s="142"/>
      <c r="C155" s="142"/>
      <c r="D155" s="142"/>
      <c r="E155" s="142"/>
      <c r="F155" s="142"/>
      <c r="G155" s="142"/>
      <c r="H155" s="142"/>
      <c r="I155" s="141"/>
    </row>
    <row r="156" spans="1:9">
      <c r="A156" s="142"/>
      <c r="B156" s="142"/>
      <c r="C156" s="142"/>
      <c r="D156" s="142"/>
      <c r="E156" s="142"/>
      <c r="F156" s="142"/>
      <c r="G156" s="142"/>
      <c r="H156" s="142"/>
      <c r="I156" s="141"/>
    </row>
    <row r="157" spans="1:9">
      <c r="A157" s="142"/>
      <c r="B157" s="142"/>
      <c r="C157" s="142"/>
      <c r="D157" s="142"/>
      <c r="E157" s="142"/>
      <c r="F157" s="142"/>
      <c r="G157" s="142"/>
      <c r="H157" s="142"/>
      <c r="I157" s="141"/>
    </row>
    <row r="158" spans="1:9">
      <c r="A158" s="142"/>
      <c r="B158" s="142"/>
      <c r="C158" s="142"/>
      <c r="D158" s="142"/>
      <c r="E158" s="142"/>
      <c r="F158" s="142"/>
      <c r="G158" s="142"/>
      <c r="H158" s="142"/>
      <c r="I158" s="141"/>
    </row>
    <row r="159" spans="1:9">
      <c r="A159" s="142"/>
      <c r="B159" s="142"/>
      <c r="C159" s="142"/>
      <c r="D159" s="142"/>
      <c r="E159" s="142"/>
      <c r="F159" s="142"/>
      <c r="G159" s="142"/>
      <c r="H159" s="142"/>
      <c r="I159" s="141"/>
    </row>
    <row r="160" spans="1:9">
      <c r="A160" s="142"/>
      <c r="B160" s="142"/>
      <c r="C160" s="142"/>
      <c r="D160" s="142"/>
      <c r="E160" s="142"/>
      <c r="F160" s="142"/>
      <c r="G160" s="142"/>
      <c r="H160" s="142"/>
      <c r="I160" s="141"/>
    </row>
    <row r="161" spans="1:9">
      <c r="A161" s="142"/>
      <c r="B161" s="142"/>
      <c r="C161" s="142"/>
      <c r="D161" s="142"/>
      <c r="E161" s="142"/>
      <c r="F161" s="142"/>
      <c r="G161" s="142"/>
      <c r="H161" s="142"/>
      <c r="I161" s="141"/>
    </row>
    <row r="162" spans="1:9">
      <c r="A162" s="142"/>
      <c r="B162" s="142"/>
      <c r="C162" s="142"/>
      <c r="D162" s="142"/>
      <c r="E162" s="142"/>
      <c r="F162" s="142"/>
      <c r="G162" s="142"/>
      <c r="H162" s="142"/>
      <c r="I162" s="141"/>
    </row>
    <row r="163" spans="1:9">
      <c r="A163" s="142"/>
      <c r="B163" s="142"/>
      <c r="C163" s="142"/>
      <c r="D163" s="142"/>
      <c r="E163" s="142"/>
      <c r="F163" s="142"/>
      <c r="G163" s="142"/>
      <c r="H163" s="142"/>
      <c r="I163" s="141"/>
    </row>
    <row r="164" spans="1:9">
      <c r="A164" s="142"/>
      <c r="B164" s="142"/>
      <c r="C164" s="142"/>
      <c r="D164" s="142"/>
      <c r="E164" s="142"/>
      <c r="F164" s="142"/>
      <c r="G164" s="142"/>
      <c r="H164" s="142"/>
      <c r="I164" s="141"/>
    </row>
    <row r="165" spans="1:9">
      <c r="A165" s="142"/>
      <c r="B165" s="142"/>
      <c r="C165" s="142"/>
      <c r="D165" s="142"/>
      <c r="E165" s="142"/>
      <c r="F165" s="142"/>
      <c r="G165" s="142"/>
      <c r="H165" s="142"/>
      <c r="I165" s="141"/>
    </row>
    <row r="166" spans="1:9">
      <c r="A166" s="142"/>
      <c r="B166" s="142"/>
      <c r="C166" s="142"/>
      <c r="D166" s="142"/>
      <c r="E166" s="142"/>
      <c r="F166" s="142"/>
      <c r="G166" s="142"/>
      <c r="H166" s="142"/>
      <c r="I166" s="141"/>
    </row>
    <row r="167" spans="1:9">
      <c r="A167" s="142"/>
      <c r="B167" s="142"/>
      <c r="C167" s="142"/>
      <c r="D167" s="142"/>
      <c r="E167" s="142"/>
      <c r="F167" s="142"/>
      <c r="G167" s="142"/>
      <c r="H167" s="142"/>
      <c r="I167" s="141"/>
    </row>
    <row r="168" spans="1:9">
      <c r="A168" s="142"/>
      <c r="B168" s="142"/>
      <c r="C168" s="142"/>
      <c r="D168" s="142"/>
      <c r="E168" s="142"/>
      <c r="F168" s="142"/>
      <c r="G168" s="142"/>
      <c r="H168" s="142"/>
      <c r="I168" s="141"/>
    </row>
    <row r="169" spans="1:9">
      <c r="A169" s="142"/>
      <c r="B169" s="142"/>
      <c r="C169" s="142"/>
      <c r="D169" s="142"/>
      <c r="E169" s="142"/>
      <c r="F169" s="142"/>
      <c r="G169" s="142"/>
      <c r="H169" s="142"/>
      <c r="I169" s="141"/>
    </row>
    <row r="170" spans="1:9">
      <c r="A170" s="142"/>
      <c r="B170" s="142"/>
      <c r="C170" s="142"/>
      <c r="D170" s="142"/>
      <c r="E170" s="142"/>
      <c r="F170" s="142"/>
      <c r="G170" s="142"/>
      <c r="H170" s="142"/>
      <c r="I170" s="141"/>
    </row>
    <row r="171" spans="1:9">
      <c r="A171" s="142"/>
      <c r="B171" s="142"/>
      <c r="C171" s="142"/>
      <c r="D171" s="142"/>
      <c r="E171" s="142"/>
      <c r="F171" s="142"/>
      <c r="G171" s="142"/>
      <c r="H171" s="142"/>
      <c r="I171" s="141"/>
    </row>
    <row r="172" spans="1:9">
      <c r="A172" s="142"/>
      <c r="B172" s="142"/>
      <c r="C172" s="142"/>
      <c r="D172" s="142"/>
      <c r="E172" s="142"/>
      <c r="F172" s="142"/>
      <c r="G172" s="142"/>
      <c r="H172" s="142"/>
      <c r="I172" s="141"/>
    </row>
    <row r="173" spans="1:9">
      <c r="A173" s="142"/>
      <c r="B173" s="142"/>
      <c r="C173" s="142"/>
      <c r="D173" s="142"/>
      <c r="E173" s="142"/>
      <c r="F173" s="142"/>
      <c r="G173" s="142"/>
      <c r="H173" s="142"/>
      <c r="I173" s="141"/>
    </row>
    <row r="174" spans="1:9">
      <c r="A174" s="142"/>
      <c r="B174" s="142"/>
      <c r="C174" s="142"/>
      <c r="D174" s="142"/>
      <c r="E174" s="142"/>
      <c r="F174" s="142"/>
      <c r="G174" s="142"/>
      <c r="H174" s="142"/>
      <c r="I174" s="141"/>
    </row>
    <row r="175" spans="1:9">
      <c r="A175" s="142"/>
      <c r="B175" s="142"/>
      <c r="C175" s="142"/>
      <c r="D175" s="142"/>
      <c r="E175" s="142"/>
      <c r="F175" s="142"/>
      <c r="G175" s="142"/>
      <c r="H175" s="142"/>
      <c r="I175" s="141"/>
    </row>
    <row r="176" spans="1:9">
      <c r="A176" s="142"/>
      <c r="B176" s="142"/>
      <c r="C176" s="142"/>
      <c r="D176" s="142"/>
      <c r="E176" s="142"/>
      <c r="F176" s="142"/>
      <c r="G176" s="142"/>
      <c r="H176" s="142"/>
      <c r="I176" s="141"/>
    </row>
    <row r="177" spans="1:9">
      <c r="A177" s="142"/>
      <c r="B177" s="142"/>
      <c r="C177" s="142"/>
      <c r="D177" s="142"/>
      <c r="E177" s="142"/>
      <c r="F177" s="142"/>
      <c r="G177" s="142"/>
      <c r="H177" s="142"/>
      <c r="I177" s="141"/>
    </row>
    <row r="178" spans="1:9">
      <c r="A178" s="142"/>
      <c r="B178" s="142"/>
      <c r="C178" s="142"/>
      <c r="D178" s="142"/>
      <c r="E178" s="142"/>
      <c r="F178" s="142"/>
      <c r="G178" s="142"/>
      <c r="H178" s="142"/>
      <c r="I178" s="141"/>
    </row>
    <row r="179" spans="1:9">
      <c r="A179" s="142"/>
      <c r="B179" s="142"/>
      <c r="C179" s="142"/>
      <c r="D179" s="142"/>
      <c r="E179" s="142"/>
      <c r="F179" s="142"/>
      <c r="G179" s="142"/>
      <c r="H179" s="142"/>
      <c r="I179" s="141"/>
    </row>
    <row r="180" spans="1:9">
      <c r="A180" s="142"/>
      <c r="B180" s="142"/>
      <c r="C180" s="142"/>
      <c r="D180" s="142"/>
      <c r="E180" s="142"/>
      <c r="F180" s="142"/>
      <c r="G180" s="142"/>
      <c r="H180" s="142"/>
      <c r="I180" s="141"/>
    </row>
    <row r="181" spans="1:9">
      <c r="A181" s="142"/>
      <c r="B181" s="142"/>
      <c r="C181" s="142"/>
      <c r="D181" s="142"/>
      <c r="E181" s="142"/>
      <c r="F181" s="142"/>
      <c r="G181" s="142"/>
      <c r="H181" s="142"/>
      <c r="I181" s="141"/>
    </row>
    <row r="182" spans="1:9">
      <c r="A182" s="142"/>
      <c r="B182" s="142"/>
      <c r="C182" s="142"/>
      <c r="D182" s="142"/>
      <c r="E182" s="142"/>
      <c r="F182" s="142"/>
      <c r="G182" s="142"/>
      <c r="H182" s="142"/>
      <c r="I182" s="141"/>
    </row>
    <row r="183" spans="1:9">
      <c r="A183" s="142"/>
      <c r="B183" s="142"/>
      <c r="C183" s="142"/>
      <c r="D183" s="142"/>
      <c r="E183" s="142"/>
      <c r="F183" s="142"/>
      <c r="G183" s="142"/>
      <c r="H183" s="142"/>
      <c r="I183" s="141"/>
    </row>
    <row r="184" spans="1:9">
      <c r="A184" s="142"/>
      <c r="B184" s="142"/>
      <c r="C184" s="142"/>
      <c r="D184" s="142"/>
      <c r="E184" s="142"/>
      <c r="F184" s="142"/>
      <c r="G184" s="142"/>
      <c r="H184" s="142"/>
      <c r="I184" s="141"/>
    </row>
    <row r="185" spans="1:9">
      <c r="A185" s="142"/>
      <c r="B185" s="142"/>
      <c r="C185" s="142"/>
      <c r="D185" s="142"/>
      <c r="E185" s="142"/>
      <c r="F185" s="142"/>
      <c r="G185" s="142"/>
      <c r="H185" s="142"/>
      <c r="I185" s="141"/>
    </row>
    <row r="186" spans="1:9">
      <c r="A186" s="142"/>
      <c r="B186" s="142"/>
      <c r="C186" s="142"/>
      <c r="D186" s="142"/>
      <c r="E186" s="142"/>
      <c r="F186" s="142"/>
      <c r="G186" s="142"/>
      <c r="H186" s="142"/>
      <c r="I186" s="141"/>
    </row>
    <row r="187" spans="1:9">
      <c r="A187" s="142"/>
      <c r="B187" s="142"/>
      <c r="C187" s="142"/>
      <c r="D187" s="142"/>
      <c r="E187" s="142"/>
      <c r="F187" s="142"/>
      <c r="G187" s="142"/>
      <c r="H187" s="142"/>
      <c r="I187" s="141"/>
    </row>
    <row r="188" spans="1:9">
      <c r="A188" s="142"/>
      <c r="B188" s="142"/>
      <c r="C188" s="142"/>
      <c r="D188" s="142"/>
      <c r="E188" s="142"/>
      <c r="F188" s="142"/>
      <c r="G188" s="142"/>
      <c r="H188" s="142"/>
      <c r="I188" s="141"/>
    </row>
    <row r="189" spans="1:9">
      <c r="A189" s="142"/>
      <c r="B189" s="142"/>
      <c r="C189" s="142"/>
      <c r="D189" s="142"/>
      <c r="E189" s="142"/>
      <c r="F189" s="142"/>
      <c r="G189" s="142"/>
      <c r="H189" s="142"/>
      <c r="I189" s="141"/>
    </row>
    <row r="190" spans="1:9">
      <c r="A190" s="142"/>
      <c r="B190" s="142"/>
      <c r="C190" s="142"/>
      <c r="D190" s="142"/>
      <c r="E190" s="142"/>
      <c r="F190" s="142"/>
      <c r="G190" s="142"/>
      <c r="H190" s="142"/>
      <c r="I190" s="141"/>
    </row>
    <row r="191" spans="1:9">
      <c r="A191" s="142"/>
      <c r="B191" s="142"/>
      <c r="C191" s="142"/>
      <c r="D191" s="142"/>
      <c r="E191" s="142"/>
      <c r="F191" s="142"/>
      <c r="G191" s="142"/>
      <c r="H191" s="142"/>
      <c r="I191" s="141"/>
    </row>
    <row r="192" spans="1:9">
      <c r="A192" s="142"/>
      <c r="B192" s="142"/>
      <c r="C192" s="142"/>
      <c r="D192" s="142"/>
      <c r="E192" s="142"/>
      <c r="F192" s="142"/>
      <c r="G192" s="142"/>
      <c r="H192" s="142"/>
      <c r="I192" s="141"/>
    </row>
    <row r="193" spans="1:9">
      <c r="A193" s="142"/>
      <c r="B193" s="142"/>
      <c r="C193" s="142"/>
      <c r="D193" s="142"/>
      <c r="E193" s="142"/>
      <c r="F193" s="142"/>
      <c r="G193" s="142"/>
      <c r="H193" s="142"/>
      <c r="I193" s="141"/>
    </row>
    <row r="194" spans="1:9">
      <c r="A194" s="142"/>
      <c r="B194" s="142"/>
      <c r="C194" s="142"/>
      <c r="D194" s="142"/>
      <c r="E194" s="142"/>
      <c r="F194" s="142"/>
      <c r="G194" s="142"/>
      <c r="H194" s="142"/>
      <c r="I194" s="141"/>
    </row>
    <row r="195" spans="1:9">
      <c r="A195" s="142"/>
      <c r="B195" s="142"/>
      <c r="C195" s="142"/>
      <c r="D195" s="142"/>
      <c r="E195" s="142"/>
      <c r="F195" s="142"/>
      <c r="G195" s="142"/>
      <c r="H195" s="142"/>
      <c r="I195" s="141"/>
    </row>
    <row r="196" spans="1:9">
      <c r="A196" s="142"/>
      <c r="B196" s="142"/>
      <c r="C196" s="142"/>
      <c r="D196" s="142"/>
      <c r="E196" s="142"/>
      <c r="F196" s="142"/>
      <c r="G196" s="142"/>
      <c r="H196" s="142"/>
      <c r="I196" s="141"/>
    </row>
    <row r="197" spans="1:9">
      <c r="A197" s="142"/>
      <c r="B197" s="142"/>
      <c r="C197" s="142"/>
      <c r="D197" s="142"/>
      <c r="E197" s="142"/>
      <c r="F197" s="142"/>
      <c r="G197" s="142"/>
      <c r="H197" s="142"/>
      <c r="I197" s="141"/>
    </row>
    <row r="198" spans="1:9">
      <c r="A198" s="142"/>
      <c r="B198" s="142"/>
      <c r="C198" s="142"/>
      <c r="D198" s="142"/>
      <c r="E198" s="142"/>
      <c r="F198" s="142"/>
      <c r="G198" s="142"/>
      <c r="H198" s="142"/>
      <c r="I198" s="141"/>
    </row>
    <row r="199" spans="1:9">
      <c r="A199" s="142"/>
      <c r="B199" s="142"/>
      <c r="C199" s="142"/>
      <c r="D199" s="142"/>
      <c r="E199" s="142"/>
      <c r="F199" s="142"/>
      <c r="G199" s="142"/>
      <c r="H199" s="142"/>
      <c r="I199" s="141"/>
    </row>
    <row r="200" spans="1:9">
      <c r="A200" s="142"/>
      <c r="B200" s="142"/>
      <c r="C200" s="142"/>
      <c r="D200" s="142"/>
      <c r="E200" s="142"/>
      <c r="F200" s="142"/>
      <c r="G200" s="142"/>
      <c r="H200" s="142"/>
      <c r="I200" s="141"/>
    </row>
    <row r="201" spans="1:9">
      <c r="A201" s="142"/>
      <c r="B201" s="142"/>
      <c r="C201" s="142"/>
      <c r="D201" s="142"/>
      <c r="E201" s="142"/>
      <c r="F201" s="142"/>
      <c r="G201" s="142"/>
      <c r="H201" s="142"/>
      <c r="I201" s="141"/>
    </row>
    <row r="202" spans="1:9">
      <c r="A202" s="142"/>
      <c r="B202" s="142"/>
      <c r="C202" s="142"/>
      <c r="D202" s="142"/>
      <c r="E202" s="142"/>
      <c r="F202" s="142"/>
      <c r="G202" s="142"/>
      <c r="H202" s="142"/>
      <c r="I202" s="141"/>
    </row>
    <row r="203" spans="1:9">
      <c r="A203" s="142"/>
      <c r="B203" s="142"/>
      <c r="C203" s="142"/>
      <c r="D203" s="142"/>
      <c r="E203" s="142"/>
      <c r="F203" s="142"/>
      <c r="G203" s="142"/>
      <c r="H203" s="142"/>
      <c r="I203" s="141"/>
    </row>
    <row r="204" spans="1:9">
      <c r="A204" s="142"/>
      <c r="B204" s="142"/>
      <c r="C204" s="142"/>
      <c r="D204" s="142"/>
      <c r="E204" s="142"/>
      <c r="F204" s="142"/>
      <c r="G204" s="142"/>
      <c r="H204" s="142"/>
      <c r="I204" s="141"/>
    </row>
    <row r="205" spans="1:9">
      <c r="A205" s="142"/>
      <c r="B205" s="142"/>
      <c r="C205" s="142"/>
      <c r="D205" s="142"/>
      <c r="E205" s="142"/>
      <c r="F205" s="142"/>
      <c r="G205" s="142"/>
      <c r="H205" s="142"/>
      <c r="I205" s="141"/>
    </row>
    <row r="206" spans="1:9">
      <c r="A206" s="142"/>
      <c r="B206" s="142"/>
      <c r="C206" s="142"/>
      <c r="D206" s="142"/>
      <c r="E206" s="142"/>
      <c r="F206" s="142"/>
      <c r="G206" s="142"/>
      <c r="H206" s="142"/>
      <c r="I206" s="141"/>
    </row>
    <row r="207" spans="1:9">
      <c r="A207" s="142"/>
      <c r="B207" s="142"/>
      <c r="C207" s="142"/>
      <c r="D207" s="142"/>
      <c r="E207" s="142"/>
      <c r="F207" s="142"/>
      <c r="G207" s="142"/>
      <c r="H207" s="142"/>
      <c r="I207" s="141"/>
    </row>
    <row r="208" spans="1:9">
      <c r="A208" s="142"/>
      <c r="B208" s="142"/>
      <c r="C208" s="142"/>
      <c r="D208" s="142"/>
      <c r="E208" s="142"/>
      <c r="F208" s="142"/>
      <c r="G208" s="142"/>
      <c r="H208" s="142"/>
      <c r="I208" s="141"/>
    </row>
    <row r="209" spans="1:9">
      <c r="A209" s="142"/>
      <c r="B209" s="142"/>
      <c r="C209" s="142"/>
      <c r="D209" s="142"/>
      <c r="E209" s="142"/>
      <c r="F209" s="142"/>
      <c r="G209" s="142"/>
      <c r="H209" s="142"/>
      <c r="I209" s="141"/>
    </row>
    <row r="210" spans="1:9">
      <c r="A210" s="142"/>
      <c r="B210" s="142"/>
      <c r="C210" s="142"/>
      <c r="D210" s="142"/>
      <c r="E210" s="142"/>
      <c r="F210" s="142"/>
      <c r="G210" s="142"/>
      <c r="H210" s="142"/>
      <c r="I210" s="141"/>
    </row>
    <row r="211" spans="1:9">
      <c r="A211" s="142"/>
      <c r="B211" s="142"/>
      <c r="C211" s="142"/>
      <c r="D211" s="142"/>
      <c r="E211" s="142"/>
      <c r="F211" s="142"/>
      <c r="G211" s="142"/>
      <c r="H211" s="142"/>
      <c r="I211" s="141"/>
    </row>
    <row r="212" spans="1:9">
      <c r="A212" s="142"/>
      <c r="B212" s="142"/>
      <c r="C212" s="142"/>
      <c r="D212" s="142"/>
      <c r="E212" s="142"/>
      <c r="F212" s="142"/>
      <c r="G212" s="142"/>
      <c r="H212" s="142"/>
      <c r="I212" s="141"/>
    </row>
    <row r="213" spans="1:9">
      <c r="A213" s="142"/>
      <c r="B213" s="142"/>
      <c r="C213" s="142"/>
      <c r="D213" s="142"/>
      <c r="E213" s="142"/>
      <c r="F213" s="142"/>
      <c r="G213" s="142"/>
      <c r="H213" s="142"/>
      <c r="I213" s="141"/>
    </row>
    <row r="214" spans="1:9">
      <c r="A214" s="142"/>
      <c r="B214" s="142"/>
      <c r="C214" s="142"/>
      <c r="D214" s="142"/>
      <c r="E214" s="142"/>
      <c r="F214" s="142"/>
      <c r="G214" s="142"/>
      <c r="H214" s="142"/>
      <c r="I214" s="141"/>
    </row>
    <row r="215" spans="1:9">
      <c r="A215" s="142"/>
      <c r="B215" s="142"/>
      <c r="C215" s="142"/>
      <c r="D215" s="142"/>
      <c r="E215" s="142"/>
      <c r="F215" s="142"/>
      <c r="G215" s="142"/>
      <c r="H215" s="142"/>
      <c r="I215" s="141"/>
    </row>
    <row r="216" spans="1:9">
      <c r="A216" s="142"/>
      <c r="B216" s="142"/>
      <c r="C216" s="142"/>
      <c r="D216" s="142"/>
      <c r="E216" s="142"/>
      <c r="F216" s="142"/>
      <c r="G216" s="142"/>
      <c r="H216" s="142"/>
      <c r="I216" s="141"/>
    </row>
    <row r="217" spans="1:9">
      <c r="A217" s="142"/>
      <c r="B217" s="142"/>
      <c r="C217" s="142"/>
      <c r="D217" s="142"/>
      <c r="E217" s="142"/>
      <c r="F217" s="142"/>
      <c r="G217" s="142"/>
      <c r="H217" s="142"/>
      <c r="I217" s="141"/>
    </row>
    <row r="218" spans="1:9">
      <c r="A218" s="142"/>
      <c r="B218" s="142"/>
      <c r="C218" s="142"/>
      <c r="D218" s="142"/>
      <c r="E218" s="142"/>
      <c r="F218" s="142"/>
      <c r="G218" s="142"/>
      <c r="H218" s="142"/>
      <c r="I218" s="141"/>
    </row>
    <row r="219" spans="1:9">
      <c r="A219" s="142"/>
      <c r="B219" s="142"/>
      <c r="C219" s="142"/>
      <c r="D219" s="142"/>
      <c r="E219" s="142"/>
      <c r="F219" s="142"/>
      <c r="G219" s="142"/>
      <c r="H219" s="142"/>
      <c r="I219" s="141"/>
    </row>
    <row r="220" spans="1:9">
      <c r="A220" s="142"/>
      <c r="B220" s="142"/>
      <c r="C220" s="142"/>
      <c r="D220" s="142"/>
      <c r="E220" s="142"/>
      <c r="F220" s="142"/>
      <c r="G220" s="142"/>
      <c r="H220" s="142"/>
      <c r="I220" s="141"/>
    </row>
    <row r="221" spans="1:9">
      <c r="A221" s="142"/>
      <c r="B221" s="142"/>
      <c r="C221" s="142"/>
      <c r="D221" s="142"/>
      <c r="E221" s="142"/>
      <c r="F221" s="142"/>
      <c r="G221" s="142"/>
      <c r="H221" s="142"/>
      <c r="I221" s="141"/>
    </row>
    <row r="222" spans="1:9">
      <c r="A222" s="142"/>
      <c r="B222" s="142"/>
      <c r="C222" s="142"/>
      <c r="D222" s="142"/>
      <c r="E222" s="142"/>
      <c r="F222" s="142"/>
      <c r="G222" s="142"/>
      <c r="H222" s="142"/>
      <c r="I222" s="141"/>
    </row>
    <row r="223" spans="1:9">
      <c r="A223" s="142"/>
      <c r="B223" s="142"/>
      <c r="C223" s="142"/>
      <c r="D223" s="142"/>
      <c r="E223" s="142"/>
      <c r="F223" s="142"/>
      <c r="G223" s="142"/>
      <c r="H223" s="142"/>
      <c r="I223" s="141"/>
    </row>
    <row r="224" spans="1:9">
      <c r="A224" s="142"/>
      <c r="B224" s="142"/>
      <c r="C224" s="142"/>
      <c r="D224" s="142"/>
      <c r="E224" s="142"/>
      <c r="F224" s="142"/>
      <c r="G224" s="142"/>
      <c r="H224" s="142"/>
      <c r="I224" s="141"/>
    </row>
    <row r="225" spans="1:9">
      <c r="A225" s="142"/>
      <c r="B225" s="142"/>
      <c r="C225" s="142"/>
      <c r="D225" s="142"/>
      <c r="E225" s="142"/>
      <c r="F225" s="142"/>
      <c r="G225" s="142"/>
      <c r="H225" s="142"/>
      <c r="I225" s="141"/>
    </row>
    <row r="226" spans="1:9">
      <c r="A226" s="142"/>
      <c r="B226" s="142"/>
      <c r="C226" s="142"/>
      <c r="D226" s="142"/>
      <c r="E226" s="142"/>
      <c r="F226" s="142"/>
      <c r="G226" s="142"/>
      <c r="H226" s="142"/>
      <c r="I226" s="141"/>
    </row>
    <row r="227" spans="1:9">
      <c r="A227" s="142"/>
      <c r="B227" s="142"/>
      <c r="C227" s="142"/>
      <c r="D227" s="142"/>
      <c r="E227" s="142"/>
      <c r="F227" s="142"/>
      <c r="G227" s="142"/>
      <c r="H227" s="142"/>
      <c r="I227" s="141"/>
    </row>
    <row r="228" spans="1:9">
      <c r="A228" s="142"/>
      <c r="B228" s="142"/>
      <c r="C228" s="142"/>
      <c r="D228" s="142"/>
      <c r="E228" s="142"/>
      <c r="F228" s="142"/>
      <c r="G228" s="142"/>
      <c r="H228" s="142"/>
      <c r="I228" s="141"/>
    </row>
    <row r="229" spans="1:9">
      <c r="A229" s="142"/>
      <c r="B229" s="142"/>
      <c r="C229" s="142"/>
      <c r="D229" s="142"/>
      <c r="E229" s="142"/>
      <c r="F229" s="142"/>
      <c r="G229" s="142"/>
      <c r="H229" s="142"/>
      <c r="I229" s="141"/>
    </row>
    <row r="230" spans="1:9">
      <c r="A230" s="142"/>
      <c r="B230" s="142"/>
      <c r="C230" s="142"/>
      <c r="D230" s="142"/>
      <c r="E230" s="142"/>
      <c r="F230" s="142"/>
      <c r="G230" s="142"/>
      <c r="H230" s="142"/>
      <c r="I230" s="141"/>
    </row>
    <row r="231" spans="1:9">
      <c r="A231" s="142"/>
      <c r="B231" s="142"/>
      <c r="C231" s="142"/>
      <c r="D231" s="142"/>
      <c r="E231" s="142"/>
      <c r="F231" s="142"/>
      <c r="G231" s="142"/>
      <c r="H231" s="142"/>
      <c r="I231" s="141"/>
    </row>
    <row r="232" spans="1:9">
      <c r="A232" s="142"/>
      <c r="B232" s="142"/>
      <c r="C232" s="142"/>
      <c r="D232" s="142"/>
      <c r="E232" s="142"/>
      <c r="F232" s="142"/>
      <c r="G232" s="142"/>
      <c r="H232" s="142"/>
      <c r="I232" s="141"/>
    </row>
    <row r="233" spans="1:9">
      <c r="A233" s="142"/>
      <c r="B233" s="142"/>
      <c r="C233" s="142"/>
      <c r="D233" s="142"/>
      <c r="E233" s="142"/>
      <c r="F233" s="142"/>
      <c r="G233" s="142"/>
      <c r="H233" s="142"/>
      <c r="I233" s="141"/>
    </row>
    <row r="234" spans="1:9">
      <c r="A234" s="142"/>
      <c r="B234" s="142"/>
      <c r="C234" s="142"/>
      <c r="D234" s="142"/>
      <c r="E234" s="142"/>
      <c r="F234" s="142"/>
      <c r="G234" s="142"/>
      <c r="H234" s="142"/>
      <c r="I234" s="141"/>
    </row>
    <row r="235" spans="1:9">
      <c r="A235" s="142"/>
      <c r="B235" s="142"/>
      <c r="C235" s="142"/>
      <c r="D235" s="142"/>
      <c r="E235" s="142"/>
      <c r="F235" s="142"/>
      <c r="G235" s="142"/>
      <c r="H235" s="142"/>
      <c r="I235" s="141"/>
    </row>
    <row r="236" spans="1:9">
      <c r="A236" s="142"/>
      <c r="B236" s="142"/>
      <c r="C236" s="142"/>
      <c r="D236" s="142"/>
      <c r="E236" s="142"/>
      <c r="F236" s="142"/>
      <c r="G236" s="142"/>
      <c r="H236" s="142"/>
      <c r="I236" s="141"/>
    </row>
    <row r="237" spans="1:9">
      <c r="A237" s="142"/>
      <c r="B237" s="142"/>
      <c r="C237" s="142"/>
      <c r="D237" s="142"/>
      <c r="E237" s="142"/>
      <c r="F237" s="142"/>
      <c r="G237" s="142"/>
      <c r="H237" s="142"/>
      <c r="I237" s="141"/>
    </row>
    <row r="238" spans="1:9">
      <c r="A238" s="142"/>
      <c r="B238" s="142"/>
      <c r="C238" s="142"/>
      <c r="D238" s="142"/>
      <c r="E238" s="142"/>
      <c r="F238" s="142"/>
      <c r="G238" s="142"/>
      <c r="H238" s="142"/>
      <c r="I238" s="141"/>
    </row>
    <row r="239" spans="1:9">
      <c r="A239" s="142"/>
      <c r="B239" s="142"/>
      <c r="C239" s="142"/>
      <c r="D239" s="142"/>
      <c r="E239" s="142"/>
      <c r="F239" s="142"/>
      <c r="G239" s="142"/>
      <c r="H239" s="142"/>
      <c r="I239" s="141"/>
    </row>
    <row r="240" spans="1:9">
      <c r="A240" s="142"/>
      <c r="B240" s="142"/>
      <c r="C240" s="142"/>
      <c r="D240" s="142"/>
      <c r="E240" s="142"/>
      <c r="F240" s="142"/>
      <c r="G240" s="142"/>
      <c r="H240" s="142"/>
      <c r="I240" s="141"/>
    </row>
    <row r="241" spans="1:9">
      <c r="A241" s="142"/>
      <c r="B241" s="142"/>
      <c r="C241" s="142"/>
      <c r="D241" s="142"/>
      <c r="E241" s="142"/>
      <c r="F241" s="142"/>
      <c r="G241" s="142"/>
      <c r="H241" s="142"/>
      <c r="I241" s="141"/>
    </row>
    <row r="242" spans="1:9">
      <c r="A242" s="142"/>
      <c r="B242" s="142"/>
      <c r="C242" s="142"/>
      <c r="D242" s="142"/>
      <c r="E242" s="142"/>
      <c r="F242" s="142"/>
      <c r="G242" s="142"/>
      <c r="H242" s="142"/>
      <c r="I242" s="141"/>
    </row>
    <row r="243" spans="1:9">
      <c r="A243" s="142"/>
      <c r="B243" s="142"/>
      <c r="C243" s="142"/>
      <c r="D243" s="142"/>
      <c r="E243" s="142"/>
      <c r="F243" s="142"/>
      <c r="G243" s="142"/>
      <c r="H243" s="142"/>
      <c r="I243" s="141"/>
    </row>
    <row r="244" spans="1:9">
      <c r="A244" s="142"/>
      <c r="B244" s="142"/>
      <c r="C244" s="142"/>
      <c r="D244" s="142"/>
      <c r="E244" s="142"/>
      <c r="F244" s="142"/>
      <c r="G244" s="142"/>
      <c r="H244" s="142"/>
      <c r="I244" s="141"/>
    </row>
    <row r="245" spans="1:9">
      <c r="A245" s="142"/>
      <c r="B245" s="142"/>
      <c r="C245" s="142"/>
      <c r="D245" s="142"/>
      <c r="E245" s="142"/>
      <c r="F245" s="142"/>
      <c r="G245" s="142"/>
      <c r="H245" s="142"/>
      <c r="I245" s="141"/>
    </row>
    <row r="246" spans="1:9">
      <c r="A246" s="142"/>
      <c r="B246" s="142"/>
      <c r="C246" s="142"/>
      <c r="D246" s="142"/>
      <c r="E246" s="142"/>
      <c r="F246" s="142"/>
      <c r="G246" s="142"/>
      <c r="H246" s="142"/>
      <c r="I246" s="141"/>
    </row>
    <row r="247" spans="1:9">
      <c r="A247" s="142"/>
      <c r="B247" s="142"/>
      <c r="C247" s="142"/>
      <c r="D247" s="142"/>
      <c r="E247" s="142"/>
      <c r="F247" s="142"/>
      <c r="G247" s="142"/>
      <c r="H247" s="142"/>
      <c r="I247" s="141"/>
    </row>
    <row r="248" spans="1:9">
      <c r="A248" s="142"/>
      <c r="B248" s="142"/>
      <c r="C248" s="142"/>
      <c r="D248" s="142"/>
    </row>
  </sheetData>
  <sheetCalcPr fullCalcOnLoad="1"/>
  <mergeCells count="3">
    <mergeCell ref="E4:E5"/>
    <mergeCell ref="H4:H5"/>
    <mergeCell ref="I4:I5"/>
  </mergeCells>
  <phoneticPr fontId="23" type="noConversion"/>
  <pageMargins left="0.75" right="0.75" top="1" bottom="1" header="0" footer="0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3:E6"/>
  <sheetViews>
    <sheetView workbookViewId="0">
      <selection activeCell="E11" sqref="E11"/>
    </sheetView>
  </sheetViews>
  <sheetFormatPr baseColWidth="10" defaultRowHeight="12"/>
  <cols>
    <col min="1" max="1" width="3" bestFit="1" customWidth="1"/>
    <col min="2" max="2" width="18.1640625" bestFit="1" customWidth="1"/>
  </cols>
  <sheetData>
    <row r="3" spans="1:5">
      <c r="A3" s="167" t="s">
        <v>55</v>
      </c>
      <c r="B3" s="167" t="s">
        <v>61</v>
      </c>
      <c r="C3" s="167" t="s">
        <v>62</v>
      </c>
    </row>
    <row r="4" spans="1:5">
      <c r="A4" s="167">
        <v>1</v>
      </c>
      <c r="B4" s="167" t="s">
        <v>59</v>
      </c>
      <c r="C4" s="168">
        <f>+Diurno!O52</f>
        <v>8.0751316199388246</v>
      </c>
      <c r="D4" s="175"/>
    </row>
    <row r="5" spans="1:5">
      <c r="A5" s="167">
        <v>2</v>
      </c>
      <c r="B5" s="167" t="s">
        <v>60</v>
      </c>
      <c r="C5" s="168">
        <f>+Nocturno!O52</f>
        <v>11.556360065263245</v>
      </c>
      <c r="D5" s="176"/>
      <c r="E5" s="169"/>
    </row>
    <row r="6" spans="1:5">
      <c r="C6" s="168">
        <f>+(C4+C5)/2</f>
        <v>9.8157458426010358</v>
      </c>
      <c r="E6" s="170"/>
    </row>
  </sheetData>
  <sheetCalcPr fullCalcOnLoad="1"/>
  <mergeCells count="1">
    <mergeCell ref="D4:D5"/>
  </mergeCells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Diurno</vt:lpstr>
      <vt:lpstr>Nocturno</vt:lpstr>
      <vt:lpstr>Resumen CAS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cdelgado</dc:creator>
  <cp:lastModifiedBy>Patrizia Perazzo</cp:lastModifiedBy>
  <cp:lastPrinted>2006-11-23T22:01:07Z</cp:lastPrinted>
  <dcterms:created xsi:type="dcterms:W3CDTF">2006-11-23T21:39:46Z</dcterms:created>
  <dcterms:modified xsi:type="dcterms:W3CDTF">2010-03-21T09:50:41Z</dcterms:modified>
</cp:coreProperties>
</file>